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Blandine/Desktop/VIVABLAST/Accounting/Reporting/"/>
    </mc:Choice>
  </mc:AlternateContent>
  <xr:revisionPtr revIDLastSave="0" documentId="13_ncr:1_{463A6C83-20B5-A245-8CCB-F0D5569354BF}" xr6:coauthVersionLast="36" xr6:coauthVersionMax="36" xr10:uidLastSave="{00000000-0000-0000-0000-000000000000}"/>
  <bookViews>
    <workbookView xWindow="0" yWindow="460" windowWidth="24660" windowHeight="15540" tabRatio="500" xr2:uid="{00000000-000D-0000-FFFF-FFFF00000000}"/>
  </bookViews>
  <sheets>
    <sheet name="Planning Payment" sheetId="2" r:id="rId1"/>
    <sheet name="Paid" sheetId="11" r:id="rId2"/>
    <sheet name="Debt VB Entities" sheetId="12" r:id="rId3"/>
    <sheet name="Currency Rate" sheetId="7" r:id="rId4"/>
    <sheet name="Sheet1" sheetId="13" r:id="rId5"/>
  </sheets>
  <definedNames>
    <definedName name="Currency">'Planning Payment'!$F$1</definedName>
  </definedName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163" i="11" l="1"/>
  <c r="F117" i="2" l="1"/>
  <c r="H117" i="2"/>
  <c r="H108" i="2"/>
  <c r="H109" i="2"/>
  <c r="H116" i="2"/>
  <c r="H115" i="2"/>
  <c r="H110" i="2"/>
  <c r="H112" i="2"/>
  <c r="H114" i="2"/>
  <c r="H113" i="2"/>
  <c r="H111" i="2"/>
  <c r="H107" i="2"/>
  <c r="H106" i="2" l="1"/>
  <c r="H105" i="2"/>
  <c r="H104" i="2"/>
  <c r="G1155" i="11"/>
  <c r="G1158" i="11"/>
  <c r="I1158" i="11"/>
  <c r="G1120" i="11"/>
  <c r="G1106" i="11"/>
  <c r="G1121" i="11"/>
  <c r="I1162" i="11"/>
  <c r="I1161" i="11"/>
  <c r="I1160" i="11"/>
  <c r="I1159" i="11"/>
  <c r="I1157" i="11"/>
  <c r="I1156" i="11"/>
  <c r="I1155" i="11"/>
  <c r="I1154" i="11"/>
  <c r="I1153" i="11"/>
  <c r="I1151" i="11"/>
  <c r="I1152" i="11"/>
  <c r="I1150" i="11"/>
  <c r="I1149" i="11"/>
  <c r="I1148" i="11"/>
  <c r="I1147" i="11"/>
  <c r="H103" i="2" l="1"/>
  <c r="H102" i="2"/>
  <c r="H101" i="2" l="1"/>
  <c r="H100" i="2"/>
  <c r="H99" i="2"/>
  <c r="H98" i="2"/>
  <c r="H97" i="2"/>
  <c r="H96" i="2"/>
  <c r="H95" i="2"/>
  <c r="H94" i="2"/>
  <c r="H93" i="2"/>
  <c r="H61" i="2"/>
  <c r="H58" i="2"/>
  <c r="H59" i="2"/>
  <c r="H60" i="2"/>
  <c r="H62" i="2"/>
  <c r="H92" i="2"/>
  <c r="H91" i="2"/>
  <c r="H90" i="2"/>
  <c r="G1134" i="11" l="1"/>
  <c r="G1119" i="11"/>
  <c r="G1122" i="11"/>
  <c r="G1108" i="11"/>
  <c r="G1110" i="11"/>
  <c r="G1109" i="11"/>
  <c r="G1107" i="11"/>
  <c r="G1118" i="11"/>
  <c r="G1105" i="11"/>
  <c r="G1117" i="11"/>
  <c r="I1146" i="11"/>
  <c r="I1145" i="11"/>
  <c r="I1144" i="11"/>
  <c r="I1141" i="11"/>
  <c r="I1142" i="11"/>
  <c r="I1143" i="11"/>
  <c r="I1140" i="11"/>
  <c r="I1139" i="11"/>
  <c r="I1138" i="11"/>
  <c r="H4" i="2" l="1"/>
  <c r="H5" i="2"/>
  <c r="H6" i="2"/>
  <c r="H7" i="2"/>
  <c r="H8" i="2"/>
  <c r="H9" i="2"/>
  <c r="H10" i="2"/>
  <c r="H11" i="2"/>
  <c r="H12" i="2"/>
  <c r="H13" i="2"/>
  <c r="H14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5" i="2"/>
  <c r="H46" i="2"/>
  <c r="H48" i="2"/>
  <c r="H49" i="2"/>
  <c r="H50" i="2"/>
  <c r="H51" i="2"/>
  <c r="H52" i="2"/>
  <c r="H53" i="2"/>
  <c r="H54" i="2"/>
  <c r="H55" i="2"/>
  <c r="H57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2" i="2"/>
  <c r="H83" i="2"/>
  <c r="H84" i="2"/>
  <c r="H86" i="2"/>
  <c r="H87" i="2"/>
  <c r="H88" i="2"/>
  <c r="H89" i="2"/>
  <c r="I1130" i="11" l="1"/>
  <c r="I1131" i="11"/>
  <c r="I1132" i="11"/>
  <c r="I1133" i="11"/>
  <c r="I1134" i="11"/>
  <c r="I1135" i="11"/>
  <c r="I1136" i="11"/>
  <c r="I1137" i="11"/>
  <c r="I1129" i="11" l="1"/>
  <c r="I1128" i="11"/>
  <c r="I1127" i="11"/>
  <c r="I1126" i="11"/>
  <c r="I1125" i="11"/>
  <c r="I1124" i="11"/>
  <c r="I1123" i="11"/>
  <c r="I1122" i="11"/>
  <c r="I1121" i="11"/>
  <c r="I1120" i="11"/>
  <c r="I1119" i="11"/>
  <c r="I1118" i="11" l="1"/>
  <c r="G1111" i="11"/>
  <c r="I1117" i="11"/>
  <c r="I1116" i="11"/>
  <c r="I1115" i="11"/>
  <c r="I1114" i="11"/>
  <c r="G1100" i="11"/>
  <c r="I1113" i="11"/>
  <c r="I1112" i="11"/>
  <c r="G1096" i="11"/>
  <c r="G1103" i="11"/>
  <c r="I1103" i="11" s="1"/>
  <c r="I1111" i="11"/>
  <c r="I1110" i="11"/>
  <c r="I1109" i="11"/>
  <c r="I1108" i="11"/>
  <c r="I1107" i="11"/>
  <c r="I1106" i="11"/>
  <c r="I1105" i="11"/>
  <c r="G1079" i="11"/>
  <c r="G1102" i="11"/>
  <c r="G1095" i="11"/>
  <c r="G1092" i="11"/>
  <c r="I1104" i="11"/>
  <c r="I1102" i="11" l="1"/>
  <c r="G1086" i="11"/>
  <c r="G1072" i="11"/>
  <c r="G1078" i="11"/>
  <c r="G1077" i="11"/>
  <c r="G1097" i="11"/>
  <c r="G1082" i="11"/>
  <c r="G1081" i="11"/>
  <c r="G1080" i="11"/>
  <c r="G1083" i="11"/>
  <c r="G1084" i="11"/>
  <c r="I1100" i="11"/>
  <c r="I1101" i="11"/>
  <c r="I1099" i="11"/>
  <c r="I1098" i="11"/>
  <c r="I1092" i="11" l="1"/>
  <c r="I1093" i="11"/>
  <c r="I1094" i="11"/>
  <c r="I1095" i="11"/>
  <c r="I1096" i="11"/>
  <c r="I1097" i="11"/>
  <c r="F85" i="2"/>
  <c r="H85" i="2" s="1"/>
  <c r="I1091" i="11"/>
  <c r="I1090" i="11"/>
  <c r="F81" i="2" l="1"/>
  <c r="H81" i="2" s="1"/>
  <c r="G1055" i="11" l="1"/>
  <c r="G1029" i="11"/>
  <c r="I1089" i="11" l="1"/>
  <c r="I1088" i="11"/>
  <c r="I1087" i="11"/>
  <c r="I1086" i="11"/>
  <c r="I1085" i="11"/>
  <c r="I1084" i="11"/>
  <c r="I1083" i="11"/>
  <c r="I1082" i="11"/>
  <c r="I1081" i="11"/>
  <c r="I1080" i="11"/>
  <c r="I1077" i="11"/>
  <c r="I1078" i="11"/>
  <c r="I1079" i="11"/>
  <c r="I1076" i="11"/>
  <c r="I1075" i="11"/>
  <c r="I1074" i="11"/>
  <c r="G1061" i="11"/>
  <c r="G1059" i="11"/>
  <c r="I1059" i="11" s="1"/>
  <c r="G1060" i="11"/>
  <c r="G1053" i="11"/>
  <c r="I1053" i="11" s="1"/>
  <c r="G1052" i="11"/>
  <c r="G1056" i="11"/>
  <c r="I1056" i="11" s="1"/>
  <c r="I1073" i="11"/>
  <c r="G960" i="11"/>
  <c r="G961" i="11"/>
  <c r="G959" i="11"/>
  <c r="G951" i="11"/>
  <c r="G950" i="11"/>
  <c r="G1027" i="11"/>
  <c r="G1032" i="11"/>
  <c r="G1037" i="11"/>
  <c r="G1054" i="11"/>
  <c r="I1054" i="11" s="1"/>
  <c r="I1072" i="11"/>
  <c r="G1071" i="11"/>
  <c r="I1071" i="11" s="1"/>
  <c r="G1063" i="11"/>
  <c r="I1070" i="11"/>
  <c r="I1069" i="11"/>
  <c r="I1068" i="11"/>
  <c r="G1035" i="11"/>
  <c r="I1067" i="11"/>
  <c r="I1066" i="11"/>
  <c r="I1065" i="11"/>
  <c r="I1064" i="11"/>
  <c r="I1060" i="11"/>
  <c r="I1061" i="11"/>
  <c r="I1062" i="11"/>
  <c r="I1063" i="11"/>
  <c r="I1058" i="11"/>
  <c r="I1057" i="11"/>
  <c r="I1055" i="11"/>
  <c r="I1052" i="11"/>
  <c r="I1049" i="11"/>
  <c r="I1050" i="11"/>
  <c r="I1051" i="11"/>
  <c r="I1048" i="11"/>
  <c r="I1047" i="11"/>
  <c r="I1046" i="11"/>
  <c r="I1045" i="11"/>
  <c r="I1044" i="11"/>
  <c r="I1043" i="11"/>
  <c r="I1042" i="11"/>
  <c r="I1041" i="11"/>
  <c r="I1040" i="11"/>
  <c r="I1039" i="11"/>
  <c r="I1038" i="11"/>
  <c r="K997" i="11" l="1"/>
  <c r="K996" i="11"/>
  <c r="I1037" i="11" l="1"/>
  <c r="I1035" i="11"/>
  <c r="I1036" i="11"/>
  <c r="I1034" i="11"/>
  <c r="I1033" i="11"/>
  <c r="I1032" i="11"/>
  <c r="G982" i="11"/>
  <c r="I1027" i="11" l="1"/>
  <c r="I1028" i="11"/>
  <c r="I1029" i="11"/>
  <c r="I1030" i="11"/>
  <c r="I1031" i="11"/>
  <c r="I1025" i="11"/>
  <c r="I1026" i="11"/>
  <c r="I1024" i="11"/>
  <c r="I1022" i="11"/>
  <c r="I1023" i="11"/>
  <c r="I1021" i="11"/>
  <c r="I1020" i="11"/>
  <c r="I1019" i="11"/>
  <c r="I1018" i="11"/>
  <c r="I1017" i="11"/>
  <c r="I1015" i="11"/>
  <c r="I1016" i="11"/>
  <c r="I1014" i="11"/>
  <c r="I1013" i="11"/>
  <c r="I1007" i="11"/>
  <c r="I1008" i="11"/>
  <c r="I1009" i="11"/>
  <c r="I1010" i="11"/>
  <c r="I1011" i="11"/>
  <c r="I1012" i="11"/>
  <c r="I1003" i="11"/>
  <c r="I1004" i="11"/>
  <c r="I1005" i="11"/>
  <c r="I1006" i="11"/>
  <c r="I1002" i="11"/>
  <c r="I1001" i="11"/>
  <c r="I1000" i="11"/>
  <c r="I997" i="11" l="1"/>
  <c r="I998" i="11"/>
  <c r="I999" i="11"/>
  <c r="I994" i="11"/>
  <c r="I995" i="11"/>
  <c r="I996" i="11"/>
  <c r="I993" i="11"/>
  <c r="I992" i="11"/>
  <c r="I991" i="11"/>
  <c r="H56" i="2" l="1"/>
  <c r="I989" i="11" l="1"/>
  <c r="I990" i="11"/>
  <c r="G988" i="11" l="1"/>
  <c r="I988" i="11" s="1"/>
  <c r="K950" i="11"/>
  <c r="I987" i="11"/>
  <c r="I975" i="11" l="1"/>
  <c r="K945" i="11"/>
  <c r="M927" i="11"/>
  <c r="M926" i="11"/>
  <c r="K928" i="11" s="1"/>
  <c r="M928" i="11" l="1"/>
  <c r="N927" i="11"/>
  <c r="K951" i="11" s="1"/>
  <c r="K935" i="11"/>
  <c r="N926" i="11"/>
  <c r="K927" i="11"/>
  <c r="I986" i="11" l="1"/>
  <c r="I985" i="11"/>
  <c r="G984" i="11"/>
  <c r="K944" i="11" l="1"/>
  <c r="K946" i="11" s="1"/>
  <c r="I984" i="11"/>
  <c r="I983" i="11"/>
  <c r="I982" i="11"/>
  <c r="G981" i="11"/>
  <c r="I981" i="11" s="1"/>
  <c r="I980" i="11"/>
  <c r="I979" i="11"/>
  <c r="I978" i="11"/>
  <c r="I977" i="11"/>
  <c r="I976" i="11"/>
  <c r="G974" i="11"/>
  <c r="G973" i="11"/>
  <c r="G972" i="11"/>
  <c r="I973" i="11"/>
  <c r="I974" i="11"/>
  <c r="G971" i="11"/>
  <c r="K949" i="11" s="1"/>
  <c r="K953" i="11" s="1"/>
  <c r="I970" i="11"/>
  <c r="I971" i="11"/>
  <c r="I972" i="11"/>
  <c r="I967" i="11"/>
  <c r="I968" i="11"/>
  <c r="I969" i="11"/>
  <c r="I966" i="11"/>
  <c r="G892" i="11"/>
  <c r="I965" i="11"/>
  <c r="I964" i="11"/>
  <c r="I962" i="11"/>
  <c r="I963" i="11"/>
  <c r="I961" i="11"/>
  <c r="I958" i="11"/>
  <c r="I959" i="11"/>
  <c r="I960" i="11"/>
  <c r="I956" i="11"/>
  <c r="I957" i="11"/>
  <c r="I955" i="11"/>
  <c r="I954" i="11"/>
  <c r="I953" i="11"/>
  <c r="G942" i="11"/>
  <c r="K926" i="11" s="1"/>
  <c r="K930" i="11" s="1"/>
  <c r="G939" i="11"/>
  <c r="G937" i="11"/>
  <c r="G938" i="11"/>
  <c r="G940" i="11"/>
  <c r="G919" i="11"/>
  <c r="G915" i="11"/>
  <c r="I952" i="11"/>
  <c r="F15" i="2" l="1"/>
  <c r="H15" i="2" s="1"/>
  <c r="I951" i="11" l="1"/>
  <c r="I950" i="11"/>
  <c r="I949" i="11"/>
  <c r="I948" i="11"/>
  <c r="I947" i="11"/>
  <c r="I946" i="11"/>
  <c r="I945" i="11"/>
  <c r="I944" i="11"/>
  <c r="G943" i="11"/>
  <c r="I943" i="11" s="1"/>
  <c r="G933" i="11"/>
  <c r="G932" i="11"/>
  <c r="G931" i="11"/>
  <c r="G930" i="11"/>
  <c r="G913" i="11"/>
  <c r="G908" i="11"/>
  <c r="G893" i="11"/>
  <c r="G880" i="11"/>
  <c r="G874" i="11"/>
  <c r="G910" i="11"/>
  <c r="G920" i="11"/>
  <c r="G918" i="11"/>
  <c r="G914" i="11"/>
  <c r="G907" i="11"/>
  <c r="G906" i="11"/>
  <c r="G904" i="11"/>
  <c r="G903" i="11"/>
  <c r="G911" i="11"/>
  <c r="I942" i="11"/>
  <c r="G941" i="11"/>
  <c r="I940" i="11"/>
  <c r="I941" i="11"/>
  <c r="I937" i="11"/>
  <c r="I938" i="11"/>
  <c r="I939" i="11"/>
  <c r="I936" i="11"/>
  <c r="I935" i="11"/>
  <c r="I934" i="11"/>
  <c r="I933" i="11"/>
  <c r="I930" i="11"/>
  <c r="I931" i="11"/>
  <c r="I932" i="11"/>
  <c r="I929" i="11"/>
  <c r="I928" i="11"/>
  <c r="I927" i="11"/>
  <c r="I926" i="11"/>
  <c r="I925" i="11"/>
  <c r="I924" i="11"/>
  <c r="I923" i="11"/>
  <c r="I922" i="11"/>
  <c r="I921" i="11"/>
  <c r="I919" i="11"/>
  <c r="I920" i="11"/>
  <c r="K933" i="11" l="1"/>
  <c r="K934" i="11" s="1"/>
  <c r="K937" i="11" s="1"/>
  <c r="G899" i="11"/>
  <c r="I916" i="11"/>
  <c r="I917" i="11"/>
  <c r="I918" i="11"/>
  <c r="I915" i="11"/>
  <c r="I914" i="11"/>
  <c r="I913" i="11"/>
  <c r="I912" i="11"/>
  <c r="I911" i="11"/>
  <c r="I910" i="11"/>
  <c r="G895" i="11" l="1"/>
  <c r="G890" i="11"/>
  <c r="G897" i="11"/>
  <c r="G889" i="11"/>
  <c r="G883" i="11"/>
  <c r="G875" i="11"/>
  <c r="G896" i="11"/>
  <c r="G878" i="11"/>
  <c r="G840" i="11"/>
  <c r="I909" i="11" l="1"/>
  <c r="I908" i="11"/>
  <c r="I907" i="11"/>
  <c r="I906" i="11"/>
  <c r="I905" i="11"/>
  <c r="I904" i="11"/>
  <c r="I903" i="11"/>
  <c r="I902" i="11"/>
  <c r="I901" i="11"/>
  <c r="I900" i="11"/>
  <c r="I899" i="11" l="1"/>
  <c r="G826" i="11"/>
  <c r="G882" i="11"/>
  <c r="G877" i="11"/>
  <c r="I877" i="11" s="1"/>
  <c r="G876" i="11"/>
  <c r="G879" i="11"/>
  <c r="I879" i="11" s="1"/>
  <c r="I898" i="11"/>
  <c r="I897" i="11"/>
  <c r="I896" i="11"/>
  <c r="I895" i="11"/>
  <c r="I894" i="11"/>
  <c r="I893" i="11"/>
  <c r="I892" i="11"/>
  <c r="I891" i="11"/>
  <c r="I890" i="11"/>
  <c r="I889" i="11"/>
  <c r="I888" i="11"/>
  <c r="I887" i="11"/>
  <c r="I886" i="11"/>
  <c r="I885" i="11"/>
  <c r="I884" i="11"/>
  <c r="I883" i="11"/>
  <c r="I882" i="11"/>
  <c r="G859" i="11"/>
  <c r="G860" i="11"/>
  <c r="G836" i="11"/>
  <c r="I881" i="11"/>
  <c r="I880" i="11"/>
  <c r="I878" i="11"/>
  <c r="I875" i="11"/>
  <c r="I876" i="11"/>
  <c r="I874" i="11"/>
  <c r="I873" i="11"/>
  <c r="G856" i="11"/>
  <c r="G820" i="11"/>
  <c r="G871" i="11"/>
  <c r="I871" i="11" s="1"/>
  <c r="G842" i="11"/>
  <c r="I872" i="11"/>
  <c r="G803" i="11"/>
  <c r="I870" i="11"/>
  <c r="I868" i="11"/>
  <c r="I869" i="11"/>
  <c r="I867" i="11"/>
  <c r="I866" i="11"/>
  <c r="G855" i="11"/>
  <c r="G858" i="11"/>
  <c r="G841" i="11"/>
  <c r="G832" i="11"/>
  <c r="G833" i="11"/>
  <c r="G863" i="11"/>
  <c r="G727" i="11"/>
  <c r="I865" i="11"/>
  <c r="I864" i="11"/>
  <c r="I863" i="11" l="1"/>
  <c r="I862" i="11"/>
  <c r="I861" i="11"/>
  <c r="I860" i="11"/>
  <c r="I859" i="11"/>
  <c r="I858" i="11"/>
  <c r="I857" i="11"/>
  <c r="I856" i="11"/>
  <c r="I855" i="11"/>
  <c r="I854" i="11"/>
  <c r="I853" i="11"/>
  <c r="I852" i="11"/>
  <c r="I850" i="11"/>
  <c r="I851" i="11"/>
  <c r="I849" i="11"/>
  <c r="G823" i="11"/>
  <c r="G807" i="11" l="1"/>
  <c r="G796" i="11"/>
  <c r="G754" i="11"/>
  <c r="I848" i="11"/>
  <c r="I847" i="11"/>
  <c r="I846" i="11"/>
  <c r="I845" i="11"/>
  <c r="I844" i="11"/>
  <c r="I843" i="11"/>
  <c r="I842" i="11"/>
  <c r="I841" i="11"/>
  <c r="I840" i="11"/>
  <c r="G713" i="11"/>
  <c r="I839" i="11"/>
  <c r="I838" i="11"/>
  <c r="I835" i="11"/>
  <c r="I836" i="11"/>
  <c r="I837" i="11"/>
  <c r="I834" i="11"/>
  <c r="I833" i="11"/>
  <c r="G753" i="11"/>
  <c r="G825" i="11"/>
  <c r="I829" i="11"/>
  <c r="I830" i="11"/>
  <c r="I831" i="11"/>
  <c r="I832" i="11"/>
  <c r="I828" i="11"/>
  <c r="I827" i="11"/>
  <c r="G824" i="11"/>
  <c r="G819" i="11"/>
  <c r="G818" i="11"/>
  <c r="G815" i="11"/>
  <c r="I826" i="11"/>
  <c r="I825" i="11"/>
  <c r="I824" i="11"/>
  <c r="I823" i="11"/>
  <c r="I822" i="11"/>
  <c r="I821" i="11"/>
  <c r="I820" i="11" l="1"/>
  <c r="I819" i="11"/>
  <c r="G813" i="11"/>
  <c r="G792" i="11"/>
  <c r="I818" i="11"/>
  <c r="G777" i="11"/>
  <c r="G811" i="11"/>
  <c r="G814" i="11"/>
  <c r="G812" i="11"/>
  <c r="I813" i="11" l="1"/>
  <c r="I814" i="11"/>
  <c r="I815" i="11"/>
  <c r="I816" i="11"/>
  <c r="I817" i="11"/>
  <c r="I812" i="11"/>
  <c r="I811" i="11"/>
  <c r="I810" i="11"/>
  <c r="I809" i="11"/>
  <c r="I808" i="11"/>
  <c r="I807" i="11"/>
  <c r="I806" i="11"/>
  <c r="I805" i="11"/>
  <c r="I804" i="11"/>
  <c r="I803" i="11"/>
  <c r="I802" i="11"/>
  <c r="G718" i="11"/>
  <c r="G699" i="11"/>
  <c r="G668" i="11"/>
  <c r="G781" i="11"/>
  <c r="G775" i="11"/>
  <c r="G729" i="11"/>
  <c r="I798" i="11" l="1"/>
  <c r="I799" i="11"/>
  <c r="I800" i="11"/>
  <c r="I801" i="11"/>
  <c r="F47" i="2"/>
  <c r="H47" i="2" s="1"/>
  <c r="F44" i="2"/>
  <c r="H44" i="2" s="1"/>
  <c r="C12" i="12"/>
  <c r="G757" i="11" l="1"/>
  <c r="G731" i="11"/>
  <c r="G728" i="11"/>
  <c r="G710" i="11"/>
  <c r="G708" i="11"/>
  <c r="G663" i="11"/>
  <c r="I797" i="11"/>
  <c r="I796" i="11"/>
  <c r="I795" i="11"/>
  <c r="I794" i="11"/>
  <c r="I793" i="11"/>
  <c r="I792" i="11"/>
  <c r="I791" i="11"/>
  <c r="F63" i="2" l="1"/>
  <c r="H63" i="2" s="1"/>
  <c r="I790" i="11" l="1"/>
  <c r="I789" i="11"/>
  <c r="I788" i="11"/>
  <c r="I786" i="11"/>
  <c r="I787" i="11"/>
  <c r="I784" i="11"/>
  <c r="I785" i="11"/>
  <c r="I783" i="11"/>
  <c r="I781" i="11"/>
  <c r="I782" i="11"/>
  <c r="I780" i="11"/>
  <c r="G779" i="11"/>
  <c r="I779" i="11" s="1"/>
  <c r="I778" i="11"/>
  <c r="I777" i="11"/>
  <c r="I776" i="11"/>
  <c r="I775" i="11"/>
  <c r="I774" i="11"/>
  <c r="I773" i="11"/>
  <c r="I772" i="11" l="1"/>
  <c r="I771" i="11"/>
  <c r="I770" i="11"/>
  <c r="I769" i="11"/>
  <c r="I768" i="11"/>
  <c r="I767" i="11"/>
  <c r="I765" i="11"/>
  <c r="I766" i="11"/>
  <c r="I764" i="11"/>
  <c r="I758" i="11"/>
  <c r="I759" i="11"/>
  <c r="I760" i="11"/>
  <c r="I761" i="11"/>
  <c r="I762" i="11"/>
  <c r="I763" i="11"/>
  <c r="I757" i="11"/>
  <c r="I756" i="11"/>
  <c r="I755" i="11"/>
  <c r="I754" i="11"/>
  <c r="I753" i="11"/>
  <c r="I752" i="11"/>
  <c r="I751" i="11"/>
  <c r="I750" i="11"/>
  <c r="G747" i="11"/>
  <c r="I746" i="11"/>
  <c r="I747" i="11"/>
  <c r="I748" i="11"/>
  <c r="I749" i="11"/>
  <c r="I745" i="11"/>
  <c r="I744" i="11"/>
  <c r="I743" i="11"/>
  <c r="I742" i="11"/>
  <c r="I741" i="11"/>
  <c r="I740" i="11"/>
  <c r="I739" i="11"/>
  <c r="I738" i="11"/>
  <c r="I737" i="11"/>
  <c r="I736" i="11"/>
  <c r="I735" i="11"/>
  <c r="I734" i="11"/>
  <c r="I733" i="11"/>
  <c r="I732" i="11"/>
  <c r="I731" i="11"/>
  <c r="G694" i="11"/>
  <c r="G693" i="11"/>
  <c r="G662" i="11"/>
  <c r="G665" i="11"/>
  <c r="G664" i="11"/>
  <c r="G593" i="11"/>
  <c r="I730" i="11" l="1"/>
  <c r="G661" i="11"/>
  <c r="I729" i="11"/>
  <c r="I728" i="11"/>
  <c r="I727" i="11"/>
  <c r="I726" i="11"/>
  <c r="I723" i="11"/>
  <c r="I724" i="11"/>
  <c r="I725" i="11"/>
  <c r="I721" i="11"/>
  <c r="I722" i="11"/>
  <c r="G720" i="11"/>
  <c r="I720" i="11" s="1"/>
  <c r="I719" i="11"/>
  <c r="I718" i="11"/>
  <c r="I717" i="11"/>
  <c r="I716" i="11"/>
  <c r="I715" i="11"/>
  <c r="I714" i="11"/>
  <c r="I713" i="11"/>
  <c r="I712" i="11"/>
  <c r="I711" i="11"/>
  <c r="G615" i="11"/>
  <c r="G706" i="11"/>
  <c r="I706" i="11" s="1"/>
  <c r="G704" i="11"/>
  <c r="I704" i="11" s="1"/>
  <c r="I710" i="11"/>
  <c r="G652" i="11"/>
  <c r="G667" i="11"/>
  <c r="G650" i="11"/>
  <c r="I709" i="11"/>
  <c r="I708" i="11"/>
  <c r="I707" i="11"/>
  <c r="I705" i="11"/>
  <c r="I703" i="11"/>
  <c r="I702" i="11"/>
  <c r="I701" i="11"/>
  <c r="I700" i="11"/>
  <c r="I699" i="11"/>
  <c r="I698" i="11"/>
  <c r="I697" i="11"/>
  <c r="I696" i="11"/>
  <c r="I695" i="11"/>
  <c r="I694" i="11"/>
  <c r="I693" i="11"/>
  <c r="I692" i="11"/>
  <c r="I691" i="11"/>
  <c r="I690" i="11"/>
  <c r="I689" i="11"/>
  <c r="I688" i="11"/>
  <c r="I687" i="11" l="1"/>
  <c r="I686" i="11"/>
  <c r="I685" i="11"/>
  <c r="I684" i="11"/>
  <c r="I681" i="11"/>
  <c r="I682" i="11"/>
  <c r="I683" i="11"/>
  <c r="I680" i="11"/>
  <c r="I679" i="11"/>
  <c r="I678" i="11"/>
  <c r="G677" i="11"/>
  <c r="I677" i="11" s="1"/>
  <c r="I674" i="11"/>
  <c r="I675" i="11"/>
  <c r="I676" i="11"/>
  <c r="I673" i="11"/>
  <c r="I672" i="11"/>
  <c r="I671" i="11"/>
  <c r="I670" i="11"/>
  <c r="I669" i="11"/>
  <c r="I668" i="11"/>
  <c r="I667" i="11"/>
  <c r="I666" i="11"/>
  <c r="I665" i="11"/>
  <c r="I664" i="11"/>
  <c r="I663" i="11"/>
  <c r="I662" i="11"/>
  <c r="I661" i="11"/>
  <c r="I660" i="11" l="1"/>
  <c r="I659" i="11"/>
  <c r="G591" i="11"/>
  <c r="G589" i="11"/>
  <c r="G594" i="11"/>
  <c r="G592" i="11"/>
  <c r="G570" i="11"/>
  <c r="G579" i="11"/>
  <c r="I658" i="11"/>
  <c r="I657" i="11"/>
  <c r="I656" i="11"/>
  <c r="I655" i="11"/>
  <c r="I654" i="11"/>
  <c r="I653" i="11"/>
  <c r="I652" i="11"/>
  <c r="I651" i="11"/>
  <c r="I650" i="11"/>
  <c r="I649" i="11"/>
  <c r="G580" i="11"/>
  <c r="G448" i="11"/>
  <c r="G584" i="11"/>
  <c r="I648" i="11"/>
  <c r="I647" i="11" l="1"/>
  <c r="I646" i="11"/>
  <c r="I645" i="11"/>
  <c r="I644" i="11"/>
  <c r="I643" i="11"/>
  <c r="I642" i="11"/>
  <c r="I641" i="11"/>
  <c r="I640" i="11"/>
  <c r="I639" i="11"/>
  <c r="I638" i="11"/>
  <c r="I636" i="11"/>
  <c r="I637" i="11"/>
  <c r="I632" i="11"/>
  <c r="I633" i="11"/>
  <c r="I634" i="11"/>
  <c r="I635" i="11"/>
  <c r="I631" i="11"/>
  <c r="I630" i="11"/>
  <c r="I629" i="11"/>
  <c r="I628" i="11"/>
  <c r="I627" i="11"/>
  <c r="I626" i="11"/>
  <c r="I625" i="11"/>
  <c r="I624" i="11"/>
  <c r="I623" i="11"/>
  <c r="I622" i="11"/>
  <c r="I621" i="11"/>
  <c r="I619" i="11"/>
  <c r="I620" i="11"/>
  <c r="I618" i="11"/>
  <c r="I617" i="11"/>
  <c r="I616" i="11"/>
  <c r="I615" i="11"/>
  <c r="I614" i="11"/>
  <c r="I613" i="11"/>
  <c r="I612" i="11"/>
  <c r="I611" i="11"/>
  <c r="I610" i="11"/>
  <c r="I609" i="11"/>
  <c r="I608" i="11"/>
  <c r="I607" i="11"/>
  <c r="I606" i="11"/>
  <c r="I604" i="11"/>
  <c r="I605" i="11"/>
  <c r="I602" i="11"/>
  <c r="I603" i="11"/>
  <c r="I600" i="11"/>
  <c r="I601" i="11"/>
  <c r="I599" i="11"/>
  <c r="I598" i="11"/>
  <c r="I597" i="11"/>
  <c r="G574" i="11" l="1"/>
  <c r="G502" i="11"/>
  <c r="G538" i="11"/>
  <c r="I460" i="11" l="1"/>
  <c r="I596" i="11"/>
  <c r="G588" i="11" l="1"/>
  <c r="I593" i="11"/>
  <c r="I594" i="11"/>
  <c r="I595" i="11"/>
  <c r="I592" i="11"/>
  <c r="I591" i="11"/>
  <c r="I590" i="11"/>
  <c r="I589" i="11"/>
  <c r="I463" i="11" l="1"/>
  <c r="G575" i="11"/>
  <c r="I575" i="11" s="1"/>
  <c r="I588" i="11"/>
  <c r="G539" i="11"/>
  <c r="G476" i="11"/>
  <c r="I587" i="11"/>
  <c r="G455" i="11"/>
  <c r="G573" i="11"/>
  <c r="I573" i="11" s="1"/>
  <c r="G581" i="11"/>
  <c r="I586" i="11"/>
  <c r="I585" i="11"/>
  <c r="I584" i="11"/>
  <c r="G551" i="11"/>
  <c r="G504" i="11"/>
  <c r="I504" i="11" s="1"/>
  <c r="I582" i="11"/>
  <c r="I583" i="11"/>
  <c r="I581" i="11"/>
  <c r="I580" i="11"/>
  <c r="G449" i="11"/>
  <c r="G450" i="11"/>
  <c r="G451" i="11"/>
  <c r="G572" i="11"/>
  <c r="G453" i="11"/>
  <c r="G446" i="11"/>
  <c r="G457" i="11"/>
  <c r="G505" i="11"/>
  <c r="G498" i="11"/>
  <c r="G490" i="11"/>
  <c r="G569" i="11"/>
  <c r="G458" i="11"/>
  <c r="I579" i="11"/>
  <c r="I578" i="11"/>
  <c r="I577" i="11"/>
  <c r="I576" i="11"/>
  <c r="I574" i="11"/>
  <c r="I572" i="11"/>
  <c r="I571" i="11"/>
  <c r="I570" i="11"/>
  <c r="I569" i="11"/>
  <c r="G382" i="11"/>
  <c r="G454" i="11"/>
  <c r="G444" i="11"/>
  <c r="G456" i="11"/>
  <c r="I568" i="11"/>
  <c r="I567" i="11"/>
  <c r="I566" i="11"/>
  <c r="I565" i="11"/>
  <c r="I564" i="11"/>
  <c r="I563" i="11"/>
  <c r="I562" i="11"/>
  <c r="I561" i="11"/>
  <c r="I560" i="11"/>
  <c r="I559" i="11"/>
  <c r="I558" i="11"/>
  <c r="I557" i="11"/>
  <c r="I556" i="11"/>
  <c r="I555" i="11"/>
  <c r="I554" i="11"/>
  <c r="I553" i="11"/>
  <c r="I552" i="11"/>
  <c r="I551" i="11"/>
  <c r="I550" i="11"/>
  <c r="I549" i="11"/>
  <c r="I546" i="11"/>
  <c r="I547" i="11"/>
  <c r="I548" i="11"/>
  <c r="I545" i="11"/>
  <c r="I544" i="11"/>
  <c r="I543" i="11"/>
  <c r="I542" i="11"/>
  <c r="I541" i="11"/>
  <c r="I540" i="11"/>
  <c r="I539" i="11"/>
  <c r="I538" i="11"/>
  <c r="I537" i="11"/>
  <c r="I535" i="11"/>
  <c r="I536" i="11"/>
  <c r="I534" i="11"/>
  <c r="I533" i="11"/>
  <c r="I532" i="11"/>
  <c r="I531" i="11"/>
  <c r="I530" i="11"/>
  <c r="I529" i="11"/>
  <c r="I528" i="11"/>
  <c r="I527" i="11"/>
  <c r="I526" i="11"/>
  <c r="I525" i="11"/>
  <c r="I524" i="11"/>
  <c r="I523" i="11"/>
  <c r="I522" i="11"/>
  <c r="I521" i="11"/>
  <c r="I520" i="11"/>
  <c r="I519" i="11"/>
  <c r="I518" i="11"/>
  <c r="I517" i="11"/>
  <c r="I516" i="11"/>
  <c r="I515" i="11"/>
  <c r="I514" i="11"/>
  <c r="I513" i="11"/>
  <c r="I512" i="11"/>
  <c r="I511" i="11"/>
  <c r="I510" i="11"/>
  <c r="I509" i="11"/>
  <c r="I508" i="11"/>
  <c r="I507" i="11"/>
  <c r="I506" i="11"/>
  <c r="I505" i="11"/>
  <c r="I503" i="11"/>
  <c r="I502" i="11"/>
  <c r="I501" i="11" l="1"/>
  <c r="I500" i="11"/>
  <c r="I499" i="11"/>
  <c r="I498" i="11" l="1"/>
  <c r="I497" i="11"/>
  <c r="I496" i="11"/>
  <c r="I494" i="11"/>
  <c r="I495" i="11"/>
  <c r="I493" i="11"/>
  <c r="I492" i="11"/>
  <c r="I490" i="11"/>
  <c r="I491" i="11"/>
  <c r="I489" i="11"/>
  <c r="I488" i="11"/>
  <c r="I487" i="11"/>
  <c r="I486" i="11"/>
  <c r="I485" i="11"/>
  <c r="I484" i="11"/>
  <c r="I483" i="11" l="1"/>
  <c r="I482" i="11"/>
  <c r="I481" i="11"/>
  <c r="I480" i="11"/>
  <c r="I479" i="11"/>
  <c r="I478" i="11"/>
  <c r="I477" i="11"/>
  <c r="I476" i="11"/>
  <c r="I474" i="11"/>
  <c r="I475" i="11"/>
  <c r="I473" i="11"/>
  <c r="I472" i="11"/>
  <c r="I471" i="11"/>
  <c r="I470" i="11"/>
  <c r="I467" i="11"/>
  <c r="I468" i="11"/>
  <c r="I469" i="11"/>
  <c r="I466" i="11"/>
  <c r="I465" i="11"/>
  <c r="I464" i="11"/>
  <c r="I462" i="11"/>
  <c r="I461" i="11"/>
  <c r="I459" i="11"/>
  <c r="G328" i="11"/>
  <c r="G415" i="11"/>
  <c r="G250" i="11"/>
  <c r="G331" i="11"/>
  <c r="I457" i="11"/>
  <c r="I458" i="11"/>
  <c r="I456" i="11"/>
  <c r="I455" i="11"/>
  <c r="I454" i="11"/>
  <c r="I453" i="11"/>
  <c r="I452" i="11"/>
  <c r="I449" i="11"/>
  <c r="I450" i="11"/>
  <c r="I451" i="11"/>
  <c r="I448" i="11"/>
  <c r="I447" i="11"/>
  <c r="E9" i="13" l="1"/>
  <c r="E10" i="13"/>
  <c r="E11" i="13"/>
  <c r="E12" i="13"/>
  <c r="E8" i="13"/>
  <c r="E7" i="13"/>
  <c r="E6" i="13"/>
  <c r="I446" i="11" l="1"/>
  <c r="G408" i="11"/>
  <c r="G411" i="11"/>
  <c r="G414" i="11"/>
  <c r="G407" i="11"/>
  <c r="G410" i="11"/>
  <c r="G412" i="11"/>
  <c r="G379" i="11"/>
  <c r="G438" i="11"/>
  <c r="G386" i="11"/>
  <c r="G364" i="11"/>
  <c r="G380" i="11"/>
  <c r="I380" i="11" s="1"/>
  <c r="G376" i="11"/>
  <c r="I376" i="11" s="1"/>
  <c r="G413" i="11"/>
  <c r="G378" i="11"/>
  <c r="G377" i="11"/>
  <c r="I377" i="11" s="1"/>
  <c r="G406" i="11"/>
  <c r="G409" i="11"/>
  <c r="G443" i="11"/>
  <c r="I445" i="11"/>
  <c r="G420" i="11"/>
  <c r="G390" i="11"/>
  <c r="I392" i="11"/>
  <c r="I393" i="11"/>
  <c r="I389" i="11"/>
  <c r="I390" i="11"/>
  <c r="I391" i="11"/>
  <c r="I386" i="11"/>
  <c r="I387" i="11"/>
  <c r="I388" i="11"/>
  <c r="I382" i="11"/>
  <c r="I383" i="11"/>
  <c r="I384" i="11"/>
  <c r="I385" i="11"/>
  <c r="I378" i="11"/>
  <c r="I379" i="11"/>
  <c r="I375" i="11"/>
  <c r="I381" i="11"/>
  <c r="G372" i="11"/>
  <c r="G360" i="11"/>
  <c r="I444" i="11"/>
  <c r="I443" i="11"/>
  <c r="I442" i="11"/>
  <c r="I441" i="11"/>
  <c r="I440" i="11"/>
  <c r="I439" i="11"/>
  <c r="I438" i="11" l="1"/>
  <c r="G405" i="11"/>
  <c r="G321" i="11"/>
  <c r="I429" i="11"/>
  <c r="I430" i="11"/>
  <c r="I431" i="11"/>
  <c r="I432" i="11"/>
  <c r="I433" i="11"/>
  <c r="I434" i="11"/>
  <c r="I435" i="11"/>
  <c r="I436" i="11"/>
  <c r="I437" i="11"/>
  <c r="I428" i="11"/>
  <c r="I427" i="11"/>
  <c r="I423" i="11" l="1"/>
  <c r="I424" i="11"/>
  <c r="I425" i="11"/>
  <c r="I426" i="11"/>
  <c r="I422" i="11"/>
  <c r="I421" i="11"/>
  <c r="I420" i="11"/>
  <c r="I419" i="11"/>
  <c r="I418" i="11"/>
  <c r="I417" i="11"/>
  <c r="I416" i="11"/>
  <c r="I415" i="11"/>
  <c r="I412" i="11"/>
  <c r="I413" i="11"/>
  <c r="I414" i="11"/>
  <c r="I411" i="11"/>
  <c r="I410" i="11"/>
  <c r="I409" i="11"/>
  <c r="I408" i="11"/>
  <c r="I406" i="11"/>
  <c r="I407" i="11"/>
  <c r="I405" i="11"/>
  <c r="I396" i="11"/>
  <c r="I397" i="11"/>
  <c r="I398" i="11"/>
  <c r="I399" i="11"/>
  <c r="I400" i="11"/>
  <c r="I401" i="11"/>
  <c r="I402" i="11"/>
  <c r="I403" i="11"/>
  <c r="I404" i="11"/>
  <c r="I395" i="11"/>
  <c r="I394" i="11" l="1"/>
  <c r="I374" i="11" l="1"/>
  <c r="I373" i="11"/>
  <c r="G371" i="11"/>
  <c r="G365" i="11"/>
  <c r="I365" i="11" s="1"/>
  <c r="G352" i="11"/>
  <c r="G351" i="11"/>
  <c r="G353" i="11"/>
  <c r="G329" i="11"/>
  <c r="G330" i="11"/>
  <c r="G283" i="11"/>
  <c r="G282" i="11"/>
  <c r="G281" i="11"/>
  <c r="G221" i="11"/>
  <c r="I372" i="11"/>
  <c r="I371" i="11"/>
  <c r="I370" i="11"/>
  <c r="I369" i="11"/>
  <c r="G286" i="11"/>
  <c r="G285" i="11"/>
  <c r="I368" i="11"/>
  <c r="I367" i="11"/>
  <c r="I366" i="11"/>
  <c r="G355" i="11"/>
  <c r="G319" i="11"/>
  <c r="G248" i="11"/>
  <c r="G11" i="12" l="1"/>
  <c r="H11" i="12"/>
  <c r="I344" i="11"/>
  <c r="I345" i="11"/>
  <c r="I364" i="11"/>
  <c r="I363" i="11"/>
  <c r="I362" i="11"/>
  <c r="I361" i="11"/>
  <c r="I360" i="11"/>
  <c r="I359" i="11" l="1"/>
  <c r="G354" i="11"/>
  <c r="I354" i="11" s="1"/>
  <c r="I352" i="11"/>
  <c r="I353" i="11"/>
  <c r="I355" i="11"/>
  <c r="I356" i="11"/>
  <c r="I357" i="11"/>
  <c r="I358" i="11"/>
  <c r="I351" i="11"/>
  <c r="G235" i="11"/>
  <c r="G263" i="11"/>
  <c r="G234" i="11"/>
  <c r="G236" i="11"/>
  <c r="G232" i="11"/>
  <c r="G251" i="11"/>
  <c r="G233" i="11"/>
  <c r="G332" i="11"/>
  <c r="G327" i="11"/>
  <c r="G237" i="11"/>
  <c r="G231" i="11"/>
  <c r="G284" i="11"/>
  <c r="I346" i="11"/>
  <c r="I347" i="11"/>
  <c r="I348" i="11"/>
  <c r="I349" i="11"/>
  <c r="I350" i="11"/>
  <c r="I343" i="11"/>
  <c r="I342" i="11"/>
  <c r="I336" i="11" l="1"/>
  <c r="I337" i="11"/>
  <c r="I338" i="11"/>
  <c r="I339" i="11"/>
  <c r="I340" i="11"/>
  <c r="I341" i="11"/>
  <c r="I330" i="11"/>
  <c r="I331" i="11"/>
  <c r="I332" i="11"/>
  <c r="I333" i="11"/>
  <c r="I334" i="11"/>
  <c r="I335" i="11"/>
  <c r="I329" i="11"/>
  <c r="G326" i="11"/>
  <c r="I326" i="11" s="1"/>
  <c r="I322" i="11"/>
  <c r="I323" i="11"/>
  <c r="I324" i="11"/>
  <c r="I325" i="11"/>
  <c r="I327" i="11"/>
  <c r="I328" i="11"/>
  <c r="I316" i="11"/>
  <c r="I317" i="11"/>
  <c r="I318" i="11"/>
  <c r="I319" i="11"/>
  <c r="I320" i="11"/>
  <c r="I321" i="11"/>
  <c r="I315" i="11"/>
  <c r="I314" i="11"/>
  <c r="I313" i="11"/>
  <c r="I312" i="11"/>
  <c r="I310" i="11"/>
  <c r="I311" i="11"/>
  <c r="I309" i="11"/>
  <c r="I308" i="11"/>
  <c r="I307" i="11"/>
  <c r="I306" i="11"/>
  <c r="I300" i="11"/>
  <c r="I301" i="11"/>
  <c r="I302" i="11"/>
  <c r="I303" i="11"/>
  <c r="I304" i="11"/>
  <c r="I305" i="11"/>
  <c r="I296" i="11"/>
  <c r="I297" i="11"/>
  <c r="I298" i="11"/>
  <c r="I299" i="11"/>
  <c r="I295" i="11"/>
  <c r="I294" i="11"/>
  <c r="I293" i="11"/>
  <c r="I292" i="11"/>
  <c r="I291" i="11"/>
  <c r="I290" i="11"/>
  <c r="I288" i="11" l="1"/>
  <c r="I289" i="11"/>
  <c r="I287" i="11" l="1"/>
  <c r="I282" i="11"/>
  <c r="I283" i="11"/>
  <c r="I284" i="11"/>
  <c r="I285" i="11"/>
  <c r="I286" i="11"/>
  <c r="I280" i="11"/>
  <c r="I281" i="11"/>
  <c r="I279" i="11"/>
  <c r="I278" i="11"/>
  <c r="I277" i="11"/>
  <c r="I276" i="11"/>
  <c r="I275" i="11"/>
  <c r="I274" i="11"/>
  <c r="G197" i="11"/>
  <c r="I270" i="11"/>
  <c r="I271" i="11"/>
  <c r="I272" i="11"/>
  <c r="I273" i="11"/>
  <c r="I269" i="11"/>
  <c r="I268" i="11"/>
  <c r="I267" i="11"/>
  <c r="I265" i="11"/>
  <c r="I266" i="11"/>
  <c r="I264" i="11"/>
  <c r="I263" i="11"/>
  <c r="I262" i="11"/>
  <c r="I261" i="11"/>
  <c r="G260" i="11"/>
  <c r="I260" i="11" s="1"/>
  <c r="G239" i="11"/>
  <c r="I239" i="11" s="1"/>
  <c r="G173" i="11"/>
  <c r="G212" i="11"/>
  <c r="G181" i="11"/>
  <c r="G114" i="11"/>
  <c r="I259" i="11"/>
  <c r="I258" i="11"/>
  <c r="I257" i="11"/>
  <c r="I256" i="11"/>
  <c r="I255" i="11"/>
  <c r="I254" i="11"/>
  <c r="I253" i="11"/>
  <c r="I252" i="11"/>
  <c r="I251" i="11"/>
  <c r="I250" i="11"/>
  <c r="I249" i="11"/>
  <c r="I248" i="11"/>
  <c r="I247" i="11"/>
  <c r="I242" i="11"/>
  <c r="I243" i="11"/>
  <c r="I244" i="11"/>
  <c r="I245" i="11"/>
  <c r="I246" i="11"/>
  <c r="I241" i="11"/>
  <c r="I240" i="11"/>
  <c r="G196" i="11" l="1"/>
  <c r="I196" i="11" s="1"/>
  <c r="G229" i="11"/>
  <c r="I229" i="11" s="1"/>
  <c r="G214" i="11"/>
  <c r="G187" i="11"/>
  <c r="I187" i="11" s="1"/>
  <c r="G201" i="11"/>
  <c r="I201" i="11" s="1"/>
  <c r="G203" i="11"/>
  <c r="I203" i="11" s="1"/>
  <c r="G200" i="11"/>
  <c r="I200" i="11" s="1"/>
  <c r="G202" i="11"/>
  <c r="I202" i="11" s="1"/>
  <c r="G193" i="11"/>
  <c r="I193" i="11" s="1"/>
  <c r="G191" i="11"/>
  <c r="I191" i="11" s="1"/>
  <c r="G192" i="11"/>
  <c r="I238" i="11"/>
  <c r="I234" i="11"/>
  <c r="I235" i="11"/>
  <c r="I236" i="11"/>
  <c r="I237" i="11"/>
  <c r="I233" i="11"/>
  <c r="I232" i="11"/>
  <c r="I231" i="11"/>
  <c r="I230" i="11"/>
  <c r="G7" i="12"/>
  <c r="H7" i="12"/>
  <c r="G8" i="12"/>
  <c r="H8" i="12"/>
  <c r="G9" i="12"/>
  <c r="H9" i="12" s="1"/>
  <c r="G10" i="12"/>
  <c r="H10" i="12"/>
  <c r="G6" i="12"/>
  <c r="H6" i="12"/>
  <c r="C10" i="12"/>
  <c r="I228" i="11"/>
  <c r="I227" i="11"/>
  <c r="I225" i="11"/>
  <c r="I226" i="11"/>
  <c r="I224" i="11"/>
  <c r="I223" i="11"/>
  <c r="I222" i="11"/>
  <c r="G185" i="11"/>
  <c r="I185" i="11" s="1"/>
  <c r="G183" i="11"/>
  <c r="I183" i="11" s="1"/>
  <c r="I221" i="11"/>
  <c r="I220" i="11"/>
  <c r="I219" i="11"/>
  <c r="I218" i="11"/>
  <c r="I216" i="11"/>
  <c r="I217" i="11"/>
  <c r="I215" i="11"/>
  <c r="I214" i="11"/>
  <c r="I213" i="11"/>
  <c r="I212" i="11"/>
  <c r="G211" i="11"/>
  <c r="I211" i="11" s="1"/>
  <c r="I210" i="11"/>
  <c r="I209" i="11"/>
  <c r="I208" i="11"/>
  <c r="I207" i="11"/>
  <c r="I204" i="11"/>
  <c r="I205" i="11"/>
  <c r="I206" i="11"/>
  <c r="I199" i="11"/>
  <c r="I198" i="11"/>
  <c r="I197" i="11"/>
  <c r="I195" i="11"/>
  <c r="I194" i="11"/>
  <c r="I192" i="11"/>
  <c r="I189" i="11"/>
  <c r="I190" i="11"/>
  <c r="I188" i="11"/>
  <c r="G182" i="11"/>
  <c r="I182" i="11" s="1"/>
  <c r="G167" i="11"/>
  <c r="G142" i="11"/>
  <c r="I142" i="11" s="1"/>
  <c r="G98" i="11"/>
  <c r="I98" i="11" s="1"/>
  <c r="G95" i="11"/>
  <c r="I95" i="11" s="1"/>
  <c r="I186" i="11"/>
  <c r="I184" i="11"/>
  <c r="I181" i="11"/>
  <c r="I180" i="11"/>
  <c r="I179" i="11"/>
  <c r="I178" i="11"/>
  <c r="G138" i="11"/>
  <c r="I138" i="11" s="1"/>
  <c r="I177" i="11"/>
  <c r="I176" i="11"/>
  <c r="I175" i="11"/>
  <c r="I174" i="11"/>
  <c r="I173" i="11"/>
  <c r="I172" i="11"/>
  <c r="I166" i="11"/>
  <c r="I167" i="11"/>
  <c r="I168" i="11"/>
  <c r="I169" i="11"/>
  <c r="I170" i="11"/>
  <c r="I171" i="11"/>
  <c r="I165" i="11"/>
  <c r="I164" i="11"/>
  <c r="I163" i="11"/>
  <c r="I162" i="11"/>
  <c r="I161" i="11"/>
  <c r="I160" i="11"/>
  <c r="I159" i="11"/>
  <c r="I158" i="11"/>
  <c r="I157" i="11"/>
  <c r="I156" i="11"/>
  <c r="I155" i="11"/>
  <c r="I154" i="11"/>
  <c r="I152" i="11"/>
  <c r="I153" i="11"/>
  <c r="I151" i="11"/>
  <c r="I150" i="11"/>
  <c r="I148" i="11"/>
  <c r="I149" i="11"/>
  <c r="I147" i="11"/>
  <c r="I146" i="11"/>
  <c r="I145" i="11"/>
  <c r="I144" i="11"/>
  <c r="G117" i="11"/>
  <c r="I117" i="11" s="1"/>
  <c r="G140" i="11"/>
  <c r="I140" i="11" s="1"/>
  <c r="G13" i="11"/>
  <c r="G55" i="11"/>
  <c r="I55" i="11" s="1"/>
  <c r="I143" i="11"/>
  <c r="I139" i="11"/>
  <c r="I141" i="11"/>
  <c r="G134" i="11"/>
  <c r="I134" i="11" s="1"/>
  <c r="G133" i="11"/>
  <c r="I133" i="11" s="1"/>
  <c r="I137" i="11"/>
  <c r="I135" i="11"/>
  <c r="I136" i="11"/>
  <c r="I130" i="11"/>
  <c r="I131" i="11"/>
  <c r="I132" i="11"/>
  <c r="I129" i="11"/>
  <c r="I128" i="11"/>
  <c r="I127" i="11"/>
  <c r="I126" i="11"/>
  <c r="I125" i="11"/>
  <c r="I124" i="11"/>
  <c r="I123" i="11"/>
  <c r="I122" i="11"/>
  <c r="I121" i="11"/>
  <c r="I120" i="11"/>
  <c r="I118" i="11"/>
  <c r="I119" i="11"/>
  <c r="I116" i="11"/>
  <c r="I115" i="11"/>
  <c r="I114" i="11"/>
  <c r="I113" i="11"/>
  <c r="I112" i="11"/>
  <c r="I111" i="11"/>
  <c r="I110" i="11"/>
  <c r="I109" i="11"/>
  <c r="I108" i="11"/>
  <c r="I107" i="11"/>
  <c r="I106" i="11"/>
  <c r="I104" i="11"/>
  <c r="I105" i="11"/>
  <c r="I103" i="11"/>
  <c r="I102" i="11"/>
  <c r="I101" i="11"/>
  <c r="I100" i="11"/>
  <c r="I99" i="11"/>
  <c r="G93" i="11"/>
  <c r="I93" i="11" s="1"/>
  <c r="G43" i="11"/>
  <c r="G42" i="11"/>
  <c r="I97" i="11"/>
  <c r="G47" i="11"/>
  <c r="I47" i="11" s="1"/>
  <c r="G48" i="11"/>
  <c r="G40" i="11"/>
  <c r="I40" i="11" s="1"/>
  <c r="G41" i="11"/>
  <c r="G37" i="11"/>
  <c r="G3" i="11"/>
  <c r="G7" i="11"/>
  <c r="I7" i="11" s="1"/>
  <c r="I96" i="11"/>
  <c r="I94" i="11"/>
  <c r="I92" i="11"/>
  <c r="I91" i="11"/>
  <c r="I90" i="11"/>
  <c r="I89" i="11"/>
  <c r="I88" i="11"/>
  <c r="I87" i="11"/>
  <c r="I86" i="11"/>
  <c r="I85" i="11"/>
  <c r="G12" i="11"/>
  <c r="I12" i="11" s="1"/>
  <c r="G11" i="11"/>
  <c r="I11" i="11" s="1"/>
  <c r="G29" i="11"/>
  <c r="I29" i="11" s="1"/>
  <c r="G58" i="11"/>
  <c r="G18" i="11"/>
  <c r="I18" i="11" s="1"/>
  <c r="I84" i="11"/>
  <c r="I82" i="11"/>
  <c r="I83" i="11"/>
  <c r="I81" i="11"/>
  <c r="I80" i="11"/>
  <c r="I79" i="11"/>
  <c r="I75" i="11"/>
  <c r="I76" i="11"/>
  <c r="I77" i="11"/>
  <c r="I78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53" i="11"/>
  <c r="I54" i="11"/>
  <c r="I56" i="11"/>
  <c r="I57" i="11"/>
  <c r="I58" i="11"/>
  <c r="I59" i="11"/>
  <c r="I60" i="11"/>
  <c r="I61" i="11"/>
  <c r="I62" i="11"/>
  <c r="I52" i="11"/>
  <c r="I51" i="11"/>
  <c r="I50" i="11"/>
  <c r="I49" i="11"/>
  <c r="I48" i="11"/>
  <c r="I45" i="11"/>
  <c r="I46" i="11"/>
  <c r="I44" i="11"/>
  <c r="I43" i="11"/>
  <c r="I42" i="11"/>
  <c r="G20" i="11"/>
  <c r="I20" i="11" s="1"/>
  <c r="G17" i="11"/>
  <c r="I17" i="11" s="1"/>
  <c r="I41" i="11"/>
  <c r="I39" i="11"/>
  <c r="I38" i="11"/>
  <c r="I37" i="11"/>
  <c r="I36" i="11"/>
  <c r="I35" i="11"/>
  <c r="I34" i="11"/>
  <c r="I33" i="11"/>
  <c r="I32" i="11"/>
  <c r="I31" i="11"/>
  <c r="I30" i="11"/>
  <c r="I23" i="11"/>
  <c r="I24" i="11"/>
  <c r="I25" i="11"/>
  <c r="I26" i="11"/>
  <c r="I27" i="11"/>
  <c r="I28" i="11"/>
  <c r="I21" i="11"/>
  <c r="I22" i="11"/>
  <c r="I19" i="11"/>
  <c r="I16" i="11"/>
  <c r="I15" i="11"/>
  <c r="I13" i="11"/>
  <c r="I14" i="11"/>
  <c r="I10" i="11"/>
  <c r="I9" i="11"/>
  <c r="G8" i="11"/>
  <c r="I8" i="11" s="1"/>
  <c r="I6" i="11"/>
  <c r="I5" i="11"/>
  <c r="I4" i="11"/>
  <c r="I3" i="11"/>
</calcChain>
</file>

<file path=xl/sharedStrings.xml><?xml version="1.0" encoding="utf-8"?>
<sst xmlns="http://schemas.openxmlformats.org/spreadsheetml/2006/main" count="3153" uniqueCount="1244">
  <si>
    <t>PAYMENT SCHEDULE</t>
  </si>
  <si>
    <t>Date</t>
  </si>
  <si>
    <t>Client/Supplier</t>
  </si>
  <si>
    <t>Description</t>
  </si>
  <si>
    <t>Montant</t>
  </si>
  <si>
    <t>MMK</t>
  </si>
  <si>
    <t>USD</t>
  </si>
  <si>
    <t>Project Number</t>
  </si>
  <si>
    <t>Currency</t>
  </si>
  <si>
    <t>Jotun</t>
  </si>
  <si>
    <t>Currency Rate</t>
  </si>
  <si>
    <t xml:space="preserve">Date </t>
  </si>
  <si>
    <t>OfficialRate</t>
  </si>
  <si>
    <t>In Dollar</t>
  </si>
  <si>
    <t>Date Due</t>
  </si>
  <si>
    <t>Date Paid</t>
  </si>
  <si>
    <t>Site Expense Mr Hung</t>
  </si>
  <si>
    <t>Site Expenses Mr Hung</t>
  </si>
  <si>
    <t>Air Ticket Mr Hung</t>
  </si>
  <si>
    <t>Ferries Charges Week 41</t>
  </si>
  <si>
    <t>Ferries Charges Week 42</t>
  </si>
  <si>
    <t>Payment Request Mr Hung</t>
  </si>
  <si>
    <t>Mr Hung Food Allowance</t>
  </si>
  <si>
    <t>Business Cards</t>
  </si>
  <si>
    <t>Fuel Office Generator</t>
  </si>
  <si>
    <t>Meal Allowance Mr Hung</t>
  </si>
  <si>
    <t>OT Office Ferry</t>
  </si>
  <si>
    <t>Commercial Tax February</t>
  </si>
  <si>
    <t>Ferry Charges EDG Ferry</t>
  </si>
  <si>
    <t>Payment Request Blandine</t>
  </si>
  <si>
    <t>Payment Penetron Debt</t>
  </si>
  <si>
    <t>Mr Hung Car July</t>
  </si>
  <si>
    <t>EDG Ferry July</t>
  </si>
  <si>
    <t>Thanlynn Ferry July</t>
  </si>
  <si>
    <t>Blandine Car August</t>
  </si>
  <si>
    <t>Ferries Charges Week 33</t>
  </si>
  <si>
    <t>Materials Maintenance Week 33</t>
  </si>
  <si>
    <t>Ferries Charges Week 34</t>
  </si>
  <si>
    <t>Ferries Charges Week 35</t>
  </si>
  <si>
    <t>SSB August</t>
  </si>
  <si>
    <t>Ferries Charges Week 36</t>
  </si>
  <si>
    <t>Ferries Charges Week 38</t>
  </si>
  <si>
    <t>Communication Charges Win Kyaing Week 36 - 39</t>
  </si>
  <si>
    <t>Communication Charges Tun Lin Kyaw Week 36 - 39</t>
  </si>
  <si>
    <t>Communication Charges U Kyaw Week 36 - 39</t>
  </si>
  <si>
    <t>Communication Charges Ye Htut Week 36 - 39</t>
  </si>
  <si>
    <t>Blandine</t>
  </si>
  <si>
    <t>Payment Request Blandine 28/06</t>
  </si>
  <si>
    <t>Payment Request Blandine 22/05</t>
  </si>
  <si>
    <t>Payment Request Blandine 03/05</t>
  </si>
  <si>
    <t>Payment Request Blandine 10/04</t>
  </si>
  <si>
    <t xml:space="preserve">Truck Rental Charges </t>
  </si>
  <si>
    <t>Welding Charges Trailer Damage</t>
  </si>
  <si>
    <t>Sikadur 31 CF Fame Road Line</t>
  </si>
  <si>
    <t>Sika 102 Waterplug</t>
  </si>
  <si>
    <t>Hotel Rental Charges Paul</t>
  </si>
  <si>
    <t>Appartment Rental Blandine 2019</t>
  </si>
  <si>
    <t>Stamp Duty Workers' Hostel Contract</t>
  </si>
  <si>
    <t>Car Rental Charges May/June</t>
  </si>
  <si>
    <t>20% Advance for Fence Fabrication</t>
  </si>
  <si>
    <t>Myr 219 03 0033</t>
  </si>
  <si>
    <t>Myr 219 03 0123</t>
  </si>
  <si>
    <t>Payment Request Blandine 23/07</t>
  </si>
  <si>
    <t>Myr 218 03 0219</t>
  </si>
  <si>
    <t>Materials Container Week 31</t>
  </si>
  <si>
    <t>Post Fee Send Documents</t>
  </si>
  <si>
    <t>Flight Ticket Mr Das</t>
  </si>
  <si>
    <t>Payment of Workers' salary</t>
  </si>
  <si>
    <t>Fuel Charges Ngan Tae Power Plant</t>
  </si>
  <si>
    <t>Materials Hmawbi Week 33</t>
  </si>
  <si>
    <t>Thanlyn Hostel Rental</t>
  </si>
  <si>
    <t>Ferry Charges Week 31</t>
  </si>
  <si>
    <t>Ferry Charges Week 32</t>
  </si>
  <si>
    <t>PPE Sales Department</t>
  </si>
  <si>
    <t>Office Ferry July</t>
  </si>
  <si>
    <t>Blandine's Car January/February</t>
  </si>
  <si>
    <t>Electricity Workers' Accomodation</t>
  </si>
  <si>
    <t>CB Bank Transfer</t>
  </si>
  <si>
    <t>Second Payment Fence Installation</t>
  </si>
  <si>
    <t>Electricity Workers' Hostel June 2019</t>
  </si>
  <si>
    <t>Trailer Rental Charges Thilawa</t>
  </si>
  <si>
    <t>Materials Maintenance EDG</t>
  </si>
  <si>
    <t>Cable Charges Bank</t>
  </si>
  <si>
    <t>Bank Transfer Akomin</t>
  </si>
  <si>
    <t>Materials Antaco 175 Week 34</t>
  </si>
  <si>
    <t>Company Annual Return Fee</t>
  </si>
  <si>
    <t>Materials Office Week 34</t>
  </si>
  <si>
    <t>Electricity Bill for EDG Office</t>
  </si>
  <si>
    <t>Rope Access TTCL Project</t>
  </si>
  <si>
    <t>Transportation Khine Meetings</t>
  </si>
  <si>
    <t>Transportation Ma Lwin Meetings</t>
  </si>
  <si>
    <t>PPE Mr Das</t>
  </si>
  <si>
    <t>Communication Charges Kay Zinn Week 27 - 31</t>
  </si>
  <si>
    <t>Communication and Transportation Zaw Lin Htike Week 27 - 31</t>
  </si>
  <si>
    <t>Communication and Transportation Ye Htut Week 27 - 31</t>
  </si>
  <si>
    <t>Communication and Transportation Tin Lin Aung Week 27 - 31</t>
  </si>
  <si>
    <t>Communication and Transportation U Kyaw Week 27 - 31</t>
  </si>
  <si>
    <t>Communication and Transportation Aung Tun Win Week 27 - 31</t>
  </si>
  <si>
    <t>Communication and Transportation Win Kaing Week 27 - 31</t>
  </si>
  <si>
    <t>Communication and Transportation Myo Khant Week 27 - 31</t>
  </si>
  <si>
    <t>Communication and Transportation Hla TInt Week 27 - 31</t>
  </si>
  <si>
    <t>Communication and Transportation Tun Lin Kyaw Week 27 - 31</t>
  </si>
  <si>
    <t>Communication and Transportation Yar Zar Tun Week 27 - 31</t>
  </si>
  <si>
    <t>Communication and Transportation Ma Lwin Week 27 - 31</t>
  </si>
  <si>
    <t>Communication and Transportation Khine Week 27 - 31</t>
  </si>
  <si>
    <t>Communication and Transportation Soe Zay Latt Week 27 - 31</t>
  </si>
  <si>
    <t>Communication and Transportation San Lwin Aung Week 27 - 31</t>
  </si>
  <si>
    <t>Communication and Transportation Sandi Week 27 - 31</t>
  </si>
  <si>
    <t>Communication and Transportation Ei Zin Week 27 - 31</t>
  </si>
  <si>
    <t>Communication and Transportation Su Thandar Week 27 - 31</t>
  </si>
  <si>
    <t>Communication And Transportation Charges Ei Zin Thant Week 27 - 31</t>
  </si>
  <si>
    <t>Materials Antaco 33 Week 38</t>
  </si>
  <si>
    <t>SSB August 2019</t>
  </si>
  <si>
    <t>Internet</t>
  </si>
  <si>
    <t>Safety Shoes VN</t>
  </si>
  <si>
    <t>Tax Workshop</t>
  </si>
  <si>
    <t>PPE Helpers</t>
  </si>
  <si>
    <t>Transportation Lwin Lwin Meetings</t>
  </si>
  <si>
    <t>Ferry Charges Thanlyn August</t>
  </si>
  <si>
    <t>Mr Hung Car August</t>
  </si>
  <si>
    <t>Ferry Charges Office August</t>
  </si>
  <si>
    <t>Payment Request Antaco Hmawbi</t>
  </si>
  <si>
    <t>OT July and August EDG Ferry</t>
  </si>
  <si>
    <t>OT July and August Thanlynn Ferry</t>
  </si>
  <si>
    <t>Mr Hung Expense</t>
  </si>
  <si>
    <t>Transportation IPP Project</t>
  </si>
  <si>
    <t>Electricity Bill Thanlyn Workers</t>
  </si>
  <si>
    <t>Charges EDG Office</t>
  </si>
  <si>
    <t>Transfer Fee Mawlamin</t>
  </si>
  <si>
    <t>Electricity Bill SPK</t>
  </si>
  <si>
    <t>Transportation Akominn</t>
  </si>
  <si>
    <t>Transportation Charges Khine</t>
  </si>
  <si>
    <t>Materials TTCL Week 39</t>
  </si>
  <si>
    <t>Ferry Charges Week 39</t>
  </si>
  <si>
    <t>Thaton Guest House</t>
  </si>
  <si>
    <t>Food Allowance Thaton Workers</t>
  </si>
  <si>
    <t>Hotel Room Thaton</t>
  </si>
  <si>
    <t>Overtime Mr Hung</t>
  </si>
  <si>
    <t>Communication Myo Kant Week 32 - 35</t>
  </si>
  <si>
    <t>Communication Hla Tint Week 32 - 35</t>
  </si>
  <si>
    <t>Communication and Transportation San Lwin Aung Week 32 - 35</t>
  </si>
  <si>
    <t>Communication and Transportation Su Thandar Week 32 - 35</t>
  </si>
  <si>
    <t>Communication and Transportation ZLT Week 32 - 35</t>
  </si>
  <si>
    <t>Communication and Transportation Tin Lin Week 32 - 35</t>
  </si>
  <si>
    <t>Communication and Transportation Win Kyaing Week 32 - 35</t>
  </si>
  <si>
    <t>Communication and Transportation Ye Htut Week 32 - 35</t>
  </si>
  <si>
    <t>Communication and Transportation U Kyaw Week 32 - 36</t>
  </si>
  <si>
    <t>Communication and Transportation Tun Lin Kyaw Week 32 - 36</t>
  </si>
  <si>
    <t>Communication and Transportation Kay Zin Mon Week 32 - 36</t>
  </si>
  <si>
    <t>Communication and Transportation Aung Ko Min Week 31 - 35</t>
  </si>
  <si>
    <t>Communication and Transportation Ei Zin Week 32 - 35</t>
  </si>
  <si>
    <t>Communication and Transportation Lwin Lwin Moe Week 32 - 35</t>
  </si>
  <si>
    <t>Communication and Transportation Ye Naing Week 32 - 35</t>
  </si>
  <si>
    <t>Communication and Transportation Khine Week 32 - 35</t>
  </si>
  <si>
    <t>Materials GOL Week 40</t>
  </si>
  <si>
    <t>Expenses Thaton Project</t>
  </si>
  <si>
    <t>Materials TTCL Extra Panels</t>
  </si>
  <si>
    <t>Ferry Charges Week 40</t>
  </si>
  <si>
    <t>Materials TTCL Week 40</t>
  </si>
  <si>
    <t>SSB September 2019</t>
  </si>
  <si>
    <t>Materials Antaco Week 42</t>
  </si>
  <si>
    <t>Materials TTCL Deco Painting Week 42</t>
  </si>
  <si>
    <t>Transportation Charges Charlotte</t>
  </si>
  <si>
    <t>Container Rental September</t>
  </si>
  <si>
    <t>Payment for Steel Force</t>
  </si>
  <si>
    <t>Service Charges Generator Repair</t>
  </si>
  <si>
    <t>Car Rental September</t>
  </si>
  <si>
    <t>Office Ferry September</t>
  </si>
  <si>
    <t>Mr Hung Car September</t>
  </si>
  <si>
    <t>Thanlynn Ferry Rental September</t>
  </si>
  <si>
    <t>Mr Hung Food Allowance September</t>
  </si>
  <si>
    <t>Materials Golden Dowa Week 41</t>
  </si>
  <si>
    <t>Material IPP Wek 33</t>
  </si>
  <si>
    <t>Bus Ticket for Mawlamyine</t>
  </si>
  <si>
    <t>Office Rental July</t>
  </si>
  <si>
    <t>Refund Blandine</t>
  </si>
  <si>
    <t>Salary Htein Lynn July</t>
  </si>
  <si>
    <t>Salary Mr Das</t>
  </si>
  <si>
    <t>Visa Expense</t>
  </si>
  <si>
    <t>Transportation Fees Harudas</t>
  </si>
  <si>
    <t>Materials Antaco Hmawbi Week 34</t>
  </si>
  <si>
    <t>Payment Jotun Debt</t>
  </si>
  <si>
    <t>Express Tickets for Mawlamyine</t>
  </si>
  <si>
    <t>Company Annual License Fee</t>
  </si>
  <si>
    <t>Communication and Transportation Ye Naing Week 27 - 31</t>
  </si>
  <si>
    <t>Taxi Fee Akomin</t>
  </si>
  <si>
    <t>Payment for Meal Allowance for IPP Project</t>
  </si>
  <si>
    <t>Payment for Meal Allowance for 2 VN Workers IPP</t>
  </si>
  <si>
    <t>Materials Hmawbi Week 35</t>
  </si>
  <si>
    <t>Payment salary 5 IRATA</t>
  </si>
  <si>
    <t>Payment RA Philippines</t>
  </si>
  <si>
    <t>Bank Charges 2 KBZ Cheque</t>
  </si>
  <si>
    <t>Payment Workers Salaries August 2019</t>
  </si>
  <si>
    <t>Employee Salaries</t>
  </si>
  <si>
    <t>Myr 219 03 0175</t>
  </si>
  <si>
    <t>Materials Week 36 Antaco</t>
  </si>
  <si>
    <t>Materilas for TTCL project</t>
  </si>
  <si>
    <t>Materials Antaco Week 37</t>
  </si>
  <si>
    <t>ferries Charges Week 37</t>
  </si>
  <si>
    <t>Container Rental Charges August</t>
  </si>
  <si>
    <t>Compressor Rental Charges IPP</t>
  </si>
  <si>
    <t>Materials TTCL 123 Week 38</t>
  </si>
  <si>
    <t>Materials TTCL Week 38</t>
  </si>
  <si>
    <t xml:space="preserve">Hotel Room Mr Nam </t>
  </si>
  <si>
    <t>Bus Ticket Thaton</t>
  </si>
  <si>
    <t>Materilas Thaton Project</t>
  </si>
  <si>
    <t>PPE Thaton Project</t>
  </si>
  <si>
    <t>Materials Thaton Project Week 38</t>
  </si>
  <si>
    <t>Fuel Charges Ferry Thaton</t>
  </si>
  <si>
    <t>Materilas EDG Week 38</t>
  </si>
  <si>
    <t>Bus Ticket Thaton - Yangon</t>
  </si>
  <si>
    <t>Electricity Bill EDG Office August</t>
  </si>
  <si>
    <t>Electricty Bill SPK Hostel August</t>
  </si>
  <si>
    <t>Communication and Transportation Yar Zar Tun Week 32 - 35</t>
  </si>
  <si>
    <t>Communication and Transportation Sandi Week 32 - 35</t>
  </si>
  <si>
    <t>Communication and Transportation Nie Tha Week 30 - 35</t>
  </si>
  <si>
    <t>Transportatio Charges Nie Tha</t>
  </si>
  <si>
    <t>Transportatio Charges Ma Lwin</t>
  </si>
  <si>
    <t>Transportation Su Thandar</t>
  </si>
  <si>
    <t>Meal Allowance Kay Zin</t>
  </si>
  <si>
    <t>Invoice Second Sub Con</t>
  </si>
  <si>
    <t>Belzona Event September (THB 15117.95)</t>
  </si>
  <si>
    <t>Transportation Nie Tha</t>
  </si>
  <si>
    <t>Jotun Debt Penta Ocean Project</t>
  </si>
  <si>
    <t>Jotun Debt Fame Project</t>
  </si>
  <si>
    <t>Accomodation, Food Allowance and Transportation for Thaton Project</t>
  </si>
  <si>
    <t>Myr 219 03 0204</t>
  </si>
  <si>
    <t>Payment for Daily Workers and Meal Allowance Thaton Project</t>
  </si>
  <si>
    <t>Nippon Debt TTCL</t>
  </si>
  <si>
    <t>Car Rental EDG Ferry</t>
  </si>
  <si>
    <t>Truck Rental Charges Golden Dowa Project</t>
  </si>
  <si>
    <t>Myr 219 03 0145</t>
  </si>
  <si>
    <t>Truck Rental Charges BYMA</t>
  </si>
  <si>
    <t>Myr 219 03 0206</t>
  </si>
  <si>
    <t>Mr Nam Food Allowance</t>
  </si>
  <si>
    <t>Express Change Fees Thaton Project</t>
  </si>
  <si>
    <t>Blandine Car July</t>
  </si>
  <si>
    <t>Truck Thaton Mobilization</t>
  </si>
  <si>
    <t>Transportation Ma Lwin</t>
  </si>
  <si>
    <t>Communication Charges Kay Zin Week 36 - 40</t>
  </si>
  <si>
    <t>Communication and Transportation Charges Ye Naing Week 36 - 40</t>
  </si>
  <si>
    <t>Communication and Transportation Charges ZLH Week 36 - 39</t>
  </si>
  <si>
    <t>Communication Charges Myo Khant Week 36 - 39</t>
  </si>
  <si>
    <t>Communication Charges Hla tint Week 36 - 39</t>
  </si>
  <si>
    <t>Communication Charges Tin Lin Week 36 - 39</t>
  </si>
  <si>
    <t>Communication Charges Yar Zar Tun Week 36 - 40</t>
  </si>
  <si>
    <t>Communication and Transportation Charges San Lwin Week 36 - 39</t>
  </si>
  <si>
    <t>Communication and Transportation Charges Su Thandar Week 36 - 39</t>
  </si>
  <si>
    <t>Communication and Transportation Charges Sandi Week 36 - 39</t>
  </si>
  <si>
    <t>Communication and Transportation Charges Lwin Lwin Moe Week 36 - 39</t>
  </si>
  <si>
    <t>Communication and Transportation Charges Khine Week 36 - 39</t>
  </si>
  <si>
    <t>Communication and Transportation Charges Nie Tha Week 36 - 39</t>
  </si>
  <si>
    <t>Communication and Transportation Charges AKM Week 36 - 39</t>
  </si>
  <si>
    <t>Communication Charges Aung Tun Win Week 36 - 38</t>
  </si>
  <si>
    <t>Communication Charges Aung Tun Win Week 32 - 35</t>
  </si>
  <si>
    <t>Penetron</t>
  </si>
  <si>
    <t>VB ASIA</t>
  </si>
  <si>
    <t>Crane Rental Charges Thaton and Site Expenses</t>
  </si>
  <si>
    <t>Electricity Bill Office September</t>
  </si>
  <si>
    <t>Paint Nippon M Tower Mock Up</t>
  </si>
  <si>
    <t>Material TTCL FH Week 42</t>
  </si>
  <si>
    <t>Materilas TTCL Deco Painting Week 42</t>
  </si>
  <si>
    <t>Materilas Antaco Hmawbi Week 42</t>
  </si>
  <si>
    <t>Myr 219 03 0134</t>
  </si>
  <si>
    <t>Myr 219 03 0067</t>
  </si>
  <si>
    <t>Materials TTCL FH Week 42</t>
  </si>
  <si>
    <t>Mock Up M Tower</t>
  </si>
  <si>
    <t>Accomodation, Food Allowance and Transportation for Thaton Project 23/10-26/10</t>
  </si>
  <si>
    <t>Payment Request Blandine 24/10</t>
  </si>
  <si>
    <t>Air Ticket Yangon - Bangkok Belzona Seminar</t>
  </si>
  <si>
    <t>Express Bus Fee Thaton - Yangon</t>
  </si>
  <si>
    <t>Materials TTCL Week 44</t>
  </si>
  <si>
    <t>Money Transfer Thaton Project</t>
  </si>
  <si>
    <t>Ferries Charge Week 43</t>
  </si>
  <si>
    <t>Grinding Machine</t>
  </si>
  <si>
    <t>OT Office Ferry September</t>
  </si>
  <si>
    <t>OT EDG Ferry September</t>
  </si>
  <si>
    <t>OT Thanlynn Ferry September</t>
  </si>
  <si>
    <t>Transportation Charlotte</t>
  </si>
  <si>
    <t>Nippon</t>
  </si>
  <si>
    <t>Service Charges Water Compressor Repair</t>
  </si>
  <si>
    <t>Transportation for Meeting Khine</t>
  </si>
  <si>
    <t>20% Advance Sub Con</t>
  </si>
  <si>
    <t>Materials TTCL Fence Week 43</t>
  </si>
  <si>
    <t>Belzona Materials Import</t>
  </si>
  <si>
    <t>PPE New Workers Week 43</t>
  </si>
  <si>
    <t>VB SEA</t>
  </si>
  <si>
    <t>VB ASIA - 1st Loan</t>
  </si>
  <si>
    <t>VB ASIA- 2nd Loan</t>
  </si>
  <si>
    <t>VB Thailand</t>
  </si>
  <si>
    <t>VB ASIA - Salaries (Start Jan 2018)</t>
  </si>
  <si>
    <t>Remaning Installments (Number)</t>
  </si>
  <si>
    <t>Remaining Value
(USD)</t>
  </si>
  <si>
    <t>Repaid Installments
(Number)</t>
  </si>
  <si>
    <t>Installements in Oct 2019 (Number)</t>
  </si>
  <si>
    <t>Monthly Installment
(USD)</t>
  </si>
  <si>
    <t>Total Debt
 (USD)</t>
  </si>
  <si>
    <t>DEBT TOWARDS VB ENTITIES</t>
  </si>
  <si>
    <t>Tax Office</t>
  </si>
  <si>
    <t>Air Ticket Vietnamese Workers IPP Project</t>
  </si>
  <si>
    <t>Local Salary Blandine July 2018</t>
  </si>
  <si>
    <t>Local Salary Blandine August 2018</t>
  </si>
  <si>
    <t>Local Salary Blandine September 2018</t>
  </si>
  <si>
    <t>Local Salary Blandine October 2018</t>
  </si>
  <si>
    <t>Local Salary Blandine November 2018</t>
  </si>
  <si>
    <t>Local Salary Blandine April 2019</t>
  </si>
  <si>
    <t>Local Salary Blandine June 2019</t>
  </si>
  <si>
    <t>Local Salary Blandine July 2019</t>
  </si>
  <si>
    <t>Local Salary Blandine August 2019</t>
  </si>
  <si>
    <t>Local Salary Blandine September 2019</t>
  </si>
  <si>
    <t>Payment Request Blandine Belzona KL Trip</t>
  </si>
  <si>
    <t>Airplane Ticket CDG Blandine</t>
  </si>
  <si>
    <t>Visa Extension Blandine 2020</t>
  </si>
  <si>
    <t>MHD</t>
  </si>
  <si>
    <t>Office Rental October</t>
  </si>
  <si>
    <t>Office Rental November</t>
  </si>
  <si>
    <t>Payment Blandine Penetron + Apex Trading</t>
  </si>
  <si>
    <t>EDG Ferry October</t>
  </si>
  <si>
    <t>Office Ferry October</t>
  </si>
  <si>
    <t>Thanlynn Ferry October</t>
  </si>
  <si>
    <t>Mr Hung Car October</t>
  </si>
  <si>
    <t>Blandine Car November</t>
  </si>
  <si>
    <t>Mr Hung Food Allowance October</t>
  </si>
  <si>
    <t>Half Debt Penetron</t>
  </si>
  <si>
    <t>Apex Trading</t>
  </si>
  <si>
    <t>Myr 219 03 01</t>
  </si>
  <si>
    <t>Remaining Payment Belzona Order</t>
  </si>
  <si>
    <t>Refund Salaries Transfer first tranche</t>
  </si>
  <si>
    <t>Payment Installment #2</t>
  </si>
  <si>
    <t>Materials Antaco JFE Meranti Week '4</t>
  </si>
  <si>
    <t>Materials Antaco Hmawbi Week 44</t>
  </si>
  <si>
    <t>Networking Fees Lighthouse</t>
  </si>
  <si>
    <t>Employee Salaries October</t>
  </si>
  <si>
    <t>Myr 219 03 0219</t>
  </si>
  <si>
    <t>Materials Antaco Padauk Shwe War Week 46</t>
  </si>
  <si>
    <t>First Aid Box TTCL Deco Painting</t>
  </si>
  <si>
    <t>Steel Subcon</t>
  </si>
  <si>
    <t>First 2 Gates Subcon</t>
  </si>
  <si>
    <t>Materials Antaco Hmawbi Week 45</t>
  </si>
  <si>
    <t>SSB Workers October</t>
  </si>
  <si>
    <t>Materials TTCL Deco Painting Nippon Week 44</t>
  </si>
  <si>
    <t xml:space="preserve">Transportation Lwin Lwin Moe </t>
  </si>
  <si>
    <t>Transportation Khine Su Mon Win</t>
  </si>
  <si>
    <t>OT EDG Ferry October</t>
  </si>
  <si>
    <t>Materials Golden Dowa Week 46</t>
  </si>
  <si>
    <t>OT Ferries Mr Hung Car September</t>
  </si>
  <si>
    <t>Bank Charges Thaton</t>
  </si>
  <si>
    <t>Ferris Charges Week 44</t>
  </si>
  <si>
    <t>Ferries Week 45</t>
  </si>
  <si>
    <t>Materials Hmawbi Week 44</t>
  </si>
  <si>
    <t>Mr 219 03 0223</t>
  </si>
  <si>
    <t>Materials TTCL Valve Painting Week 44</t>
  </si>
  <si>
    <t>Myr 219 03 0223</t>
  </si>
  <si>
    <t>Materials TTCL Deco Painting Week 45</t>
  </si>
  <si>
    <t>Materials Antaco Week 45</t>
  </si>
  <si>
    <t>Myr 219 03 0238</t>
  </si>
  <si>
    <t>Materials MSP Week 45</t>
  </si>
  <si>
    <t>Materials TTCL Valve Painting Week 45</t>
  </si>
  <si>
    <t>Service Charges Belzona Order 3</t>
  </si>
  <si>
    <t>Materials Thaton Project Week 40</t>
  </si>
  <si>
    <t>Payment Subcon 18 Panels</t>
  </si>
  <si>
    <t>Flight Ticket MSP Project</t>
  </si>
  <si>
    <t>Hotel Rental Charges MSP Project</t>
  </si>
  <si>
    <t>Flight Ticket Sri Lanka Meeting</t>
  </si>
  <si>
    <t>Visa Charlotte</t>
  </si>
  <si>
    <t>Materials MSP Week 47</t>
  </si>
  <si>
    <t>Myr 219 03 0233</t>
  </si>
  <si>
    <t>Materials TTCL Valve Week 47</t>
  </si>
  <si>
    <t>Materials TTCL Deco Painting Week 47</t>
  </si>
  <si>
    <t>Materials Office Week 47</t>
  </si>
  <si>
    <t>Materials Maintenance Week 44</t>
  </si>
  <si>
    <t>Materials Antaco Hmawbi Week 47</t>
  </si>
  <si>
    <t>Ferries Week 46</t>
  </si>
  <si>
    <t>Communication and Transportation Charges Soe Zay Latt Week 32 - 35</t>
  </si>
  <si>
    <t>Communication and Transportation Charges Ei Zin Week 36 - 39</t>
  </si>
  <si>
    <t xml:space="preserve">Transportation Khine </t>
  </si>
  <si>
    <t>Communication Charges Myo Khant Week 40 - 44</t>
  </si>
  <si>
    <t>Communication Charges Tin Lin Aung Week 40 - 44</t>
  </si>
  <si>
    <t>Communication Charges Ye Htut Week 40 - 44</t>
  </si>
  <si>
    <t>Communication Charges Win Kyaing Week 40 - 44</t>
  </si>
  <si>
    <t>Communication Charges Hla Tint Week 40 - 44</t>
  </si>
  <si>
    <t>Communication Charges Tun Lin Kyaw Week 40 - 44</t>
  </si>
  <si>
    <t>Communication Charges Kay Zin Week 41 - 44</t>
  </si>
  <si>
    <t>Communication and Trnasportation Charges Lay Shar Week 43 - 44</t>
  </si>
  <si>
    <t>Communication and Transportation Charges Khine Week 40 - 44</t>
  </si>
  <si>
    <t>Communication and Transportation Charges Lwin Lwin Mor Week 40 - 44</t>
  </si>
  <si>
    <t>Communication and Transportation Charges Su Thandar Week 40 - 44</t>
  </si>
  <si>
    <t>Commercial Tax October 2019</t>
  </si>
  <si>
    <t>Materials TTCL Valve Painting Week 48</t>
  </si>
  <si>
    <t>Materials Antaco Hmawbi Week 48</t>
  </si>
  <si>
    <t>Payment Kargo Demob Golden Dowa</t>
  </si>
  <si>
    <t>Payment Kargo Mob MSP</t>
  </si>
  <si>
    <t>Ferries Charges Week 47</t>
  </si>
  <si>
    <t>Materials TVC Valve Painting Week 48</t>
  </si>
  <si>
    <t>Payment Request Blandine Sri Lanka trip</t>
  </si>
  <si>
    <t>Payment Request Boris Trip</t>
  </si>
  <si>
    <t>Ferry Charges Week 48</t>
  </si>
  <si>
    <t>Apartment Rental SPK Hotel</t>
  </si>
  <si>
    <t xml:space="preserve">Trnasportation Yar Zar Tun </t>
  </si>
  <si>
    <t xml:space="preserve">Materials Nippon TTCL </t>
  </si>
  <si>
    <t>Taxi Charlotte</t>
  </si>
  <si>
    <t>Electricity Bill September, October, November</t>
  </si>
  <si>
    <t>Electricity Bill October, November, December</t>
  </si>
  <si>
    <t xml:space="preserve">Bank Charges </t>
  </si>
  <si>
    <t>Transportation Meetings Lwin</t>
  </si>
  <si>
    <t>Transportation fees San Lwin</t>
  </si>
  <si>
    <t>Communication Charges Yar Zar Tun Week 41 - 44</t>
  </si>
  <si>
    <t>Communication Charges U Kyaw Week 40 - 44</t>
  </si>
  <si>
    <t>Transportation Charges and Communication Charlotte Week 43 - 44</t>
  </si>
  <si>
    <t>Materials BYMA Week 47</t>
  </si>
  <si>
    <t>Payment for Rope Access Project in VN</t>
  </si>
  <si>
    <t>Myr 219 03 0244</t>
  </si>
  <si>
    <t>Materials Antaco Week 47</t>
  </si>
  <si>
    <t>Materials TTCL Fence Installation Week 47</t>
  </si>
  <si>
    <t>EDG Electricity</t>
  </si>
  <si>
    <t>Hotel Fees VN Support</t>
  </si>
  <si>
    <t>Salary and Food Allowance VN Support</t>
  </si>
  <si>
    <t>Rockwool Materials</t>
  </si>
  <si>
    <t>Materials TTCL Floor Hardener Week 49</t>
  </si>
  <si>
    <t>Salaries November</t>
  </si>
  <si>
    <t>Payment Request Blandine 29/11</t>
  </si>
  <si>
    <t>Materials TTCL Labelling Week 49</t>
  </si>
  <si>
    <t>Materilas Antaco Hmawbi Week 49</t>
  </si>
  <si>
    <t>Materilas TTCL Valve Painting Week 49</t>
  </si>
  <si>
    <t>Ferry Charges Week 49</t>
  </si>
  <si>
    <t>Final Payment Steel Fence Sbcon</t>
  </si>
  <si>
    <t>Transportation and Communication Allowance Charlotte</t>
  </si>
  <si>
    <t>Payment request San Lwin</t>
  </si>
  <si>
    <t>Rope Access Project TTCL</t>
  </si>
  <si>
    <t>Materials X Design Hotel Week 48</t>
  </si>
  <si>
    <t>Materilas TTCL Polishing Week 48</t>
  </si>
  <si>
    <t>Salaries November Office</t>
  </si>
  <si>
    <t>Myr 219 03 0239</t>
  </si>
  <si>
    <t>Materilas TTCL Labelling Week 49</t>
  </si>
  <si>
    <t>U Than Oo (MMK)</t>
  </si>
  <si>
    <t>TBC</t>
  </si>
  <si>
    <t>Salary Htein Lynn November</t>
  </si>
  <si>
    <t>Payment request Blandine 10/12</t>
  </si>
  <si>
    <t>Materials Signage Week 49</t>
  </si>
  <si>
    <t>Myr 219 03 0272</t>
  </si>
  <si>
    <t>SSB November 2019</t>
  </si>
  <si>
    <t>Ferry Charges Week 50</t>
  </si>
  <si>
    <t>Myr 219 03 0099</t>
  </si>
  <si>
    <t>Materials Valve Painting Week 50</t>
  </si>
  <si>
    <t>Materilas Mtower Mock Up Week 50</t>
  </si>
  <si>
    <t>Internet Office 3 Months</t>
  </si>
  <si>
    <t>Ananda</t>
  </si>
  <si>
    <t>Materials Antaco PSW Week 50</t>
  </si>
  <si>
    <t>Materials TTCL Pipe Labelling Week 50</t>
  </si>
  <si>
    <t>Materials BYMA Deco Painting Week 50</t>
  </si>
  <si>
    <t>Food Allowance Mr Hung November</t>
  </si>
  <si>
    <t>Mr Hung Appartment Rental 6 Months</t>
  </si>
  <si>
    <t>Paint Valve Painting</t>
  </si>
  <si>
    <t>Air Ticket Mr Hung VN NY 2020</t>
  </si>
  <si>
    <t>Air Ticket Charlotte Visa Run</t>
  </si>
  <si>
    <t>Local Salary Blandine November 2019</t>
  </si>
  <si>
    <t>Paint PSW Project</t>
  </si>
  <si>
    <t>OT Ferry Thanlynn October</t>
  </si>
  <si>
    <t>Office Ferry November</t>
  </si>
  <si>
    <t>Mr Hung Car November</t>
  </si>
  <si>
    <t>EDG Ferry November</t>
  </si>
  <si>
    <t>Thanlynn Ferry November</t>
  </si>
  <si>
    <t>Paint BYMA</t>
  </si>
  <si>
    <t>Kargo</t>
  </si>
  <si>
    <t>Demob MSP</t>
  </si>
  <si>
    <t>Transportation Meetings Khine</t>
  </si>
  <si>
    <t xml:space="preserve">Communication and Transportation Charges Khine Week 45 - 48 </t>
  </si>
  <si>
    <t xml:space="preserve">Communication and Transportation Charges Kay Zin Mon Week 45 - 48 </t>
  </si>
  <si>
    <t xml:space="preserve">Communication and Transportation Charges Lay Shar Hlaing Week 45 - 48 </t>
  </si>
  <si>
    <t xml:space="preserve">Communication and Transportation Charges San Lwin Aung Week 45 - 48 </t>
  </si>
  <si>
    <t>Communication and Transportation Charges Kywe Kywe Soe Week 45 - 489</t>
  </si>
  <si>
    <t xml:space="preserve">Communication and Transportation Charges Lwin Week 45 - 48  </t>
  </si>
  <si>
    <t>Communication and Transportation Charges Ye Naing Week 41 - 44</t>
  </si>
  <si>
    <t>Communication and Transportation Charges Ei Zin Week 40 - 44</t>
  </si>
  <si>
    <t>Communication and Transportation Charges Sandi Week 40 - 44</t>
  </si>
  <si>
    <t>Communication and Transportation Charges San Lwin Aung Week 40 - 44</t>
  </si>
  <si>
    <t>Demob Thaton</t>
  </si>
  <si>
    <t>Paint TTCL Project</t>
  </si>
  <si>
    <t>VB Asia</t>
  </si>
  <si>
    <t>Instalment 2 - 2nd loan</t>
  </si>
  <si>
    <t>Freight Charges Belzona Order 3 - First Installment</t>
  </si>
  <si>
    <t>Freight Charges Belzona Order 3 - Second Installment</t>
  </si>
  <si>
    <t>Materials TTCL Valve Painting Week 51/52</t>
  </si>
  <si>
    <t>Materials Deco Painting PSW Week 51/52</t>
  </si>
  <si>
    <t>Myr 219 03 0268</t>
  </si>
  <si>
    <t>Materials TTCL Signage Week 51/52</t>
  </si>
  <si>
    <t>Materials BYMA Week 51/52</t>
  </si>
  <si>
    <t>Materials Antaco Hmawbi Week 51/51</t>
  </si>
  <si>
    <t>Materials TTCL Pipe Labelling Week 51/52</t>
  </si>
  <si>
    <t>Myr 219 03 0011</t>
  </si>
  <si>
    <t>Materials X Design Week 51/52</t>
  </si>
  <si>
    <t>Materials TTCL Deco Painting Week 51/52</t>
  </si>
  <si>
    <t>Ferry Charges Week 51</t>
  </si>
  <si>
    <t>Name Card for Commercial Team</t>
  </si>
  <si>
    <t>FRC Renewal</t>
  </si>
  <si>
    <t>Rope Access Project Philippines &amp; VN</t>
  </si>
  <si>
    <t>Materials Labelling Week 52</t>
  </si>
  <si>
    <t>Bank Fee fo Deposit</t>
  </si>
  <si>
    <t>Materials Antaco JFE Meranti Week 52</t>
  </si>
  <si>
    <t>Electrcity Bill EDG November 2019</t>
  </si>
  <si>
    <t>Materilas BYMA Deco Painting Week 50</t>
  </si>
  <si>
    <t>Materilas TTCL Signage Week 50</t>
  </si>
  <si>
    <t>Blandine Car Maintenance Fee</t>
  </si>
  <si>
    <t>Materials Antaco Deco Painting Week 51</t>
  </si>
  <si>
    <t>Materials EDG Week 2</t>
  </si>
  <si>
    <t>Myr 219 03 0280</t>
  </si>
  <si>
    <t>Materials Xdesign</t>
  </si>
  <si>
    <t>Materials Office Week 2</t>
  </si>
  <si>
    <t>Materials TTCL Deco Painting Week 02</t>
  </si>
  <si>
    <t>Ferries Charges Week 2</t>
  </si>
  <si>
    <t>Ferries Charges Week 1</t>
  </si>
  <si>
    <t>Ferries Charges Week 52</t>
  </si>
  <si>
    <t>Materials PSW Deco Week 01</t>
  </si>
  <si>
    <t xml:space="preserve">Stamp Tax Mr Hung Apartment </t>
  </si>
  <si>
    <t>Income Tax Blandine April - September 2019</t>
  </si>
  <si>
    <t>Communication and Transportation Khine Week 49 - 52</t>
  </si>
  <si>
    <t>Communication Charges Kay Zin Week 49 - 52</t>
  </si>
  <si>
    <t>Transportation and Communication Charlott Week 49 - 50</t>
  </si>
  <si>
    <t>Materials Request San Lwin FH TTCL</t>
  </si>
  <si>
    <t>Myr 219 03 0284</t>
  </si>
  <si>
    <t>Paint JFE Merani</t>
  </si>
  <si>
    <t>Office Ferry December</t>
  </si>
  <si>
    <t>Mr Hung Car December</t>
  </si>
  <si>
    <t>EDG Ferry December</t>
  </si>
  <si>
    <t>Thanlynn Ferry December</t>
  </si>
  <si>
    <t>Meal Allowance Mr Hung December</t>
  </si>
  <si>
    <t>Payment for Office Container</t>
  </si>
  <si>
    <t>Car Rental Charges December</t>
  </si>
  <si>
    <t>Materials X Design Week 51</t>
  </si>
  <si>
    <t>Materials PSW Deco Week 50</t>
  </si>
  <si>
    <t>Sika</t>
  </si>
  <si>
    <t>Materials TTCL Deco Painting Week 50</t>
  </si>
  <si>
    <t>Myr 219 03 0275</t>
  </si>
  <si>
    <t>Demog Golden Dowa</t>
  </si>
  <si>
    <t>Transportation for Meetings Ma Lwin</t>
  </si>
  <si>
    <t>Bank Charges Transfer to VB Asia</t>
  </si>
  <si>
    <t xml:space="preserve">Transportation Meetings Khine </t>
  </si>
  <si>
    <t>Electricity Bill SPK Hostel November 2019</t>
  </si>
  <si>
    <t>Electricity Bill EDG November 2019</t>
  </si>
  <si>
    <t>Transportation Meetings Nie Tha</t>
  </si>
  <si>
    <t>Materials BYMA Week 50</t>
  </si>
  <si>
    <t>Myr  219 03 0134</t>
  </si>
  <si>
    <t>Paint TTCL Deco Painting Week 45</t>
  </si>
  <si>
    <t>Paint TTCL Deco Painting Week 47</t>
  </si>
  <si>
    <t>OT Driver EDG Ferry November</t>
  </si>
  <si>
    <t>OT Driver Office Ferry November</t>
  </si>
  <si>
    <t>OT Driver Thanlynn Ferry November</t>
  </si>
  <si>
    <t>Transportation and Communication Nie Tha Week 40 - 44</t>
  </si>
  <si>
    <t>Communication Charges Ye Htut Week 45 - 48</t>
  </si>
  <si>
    <t>Communication Charges Tin Lin Aung Week 45 - 48</t>
  </si>
  <si>
    <t>Communication Charges Myo Kant Week 45 - 48</t>
  </si>
  <si>
    <t>Communication Charges Hla Tint Week 45 - 48</t>
  </si>
  <si>
    <t>Communication Charges U Kyaw Week 45 - 48</t>
  </si>
  <si>
    <t>Communication Charges Win Kyaing Week 45 - 48</t>
  </si>
  <si>
    <t>Communication and Transportation Su Thandar Zaw Week 45 - 48</t>
  </si>
  <si>
    <t>Communication and Transportatio Sandi Week 45 - 48</t>
  </si>
  <si>
    <t>Communication and Transportation Ei Zin Week 45 - 48</t>
  </si>
  <si>
    <t>Communication and Transportation Ye Naing Week 45 - 48</t>
  </si>
  <si>
    <t>Communication Charges Yar Zar Tun Week 45 - 48</t>
  </si>
  <si>
    <t>Workers Salaries December</t>
  </si>
  <si>
    <t>Ferries Charges Week 03</t>
  </si>
  <si>
    <t>SSB December</t>
  </si>
  <si>
    <t>Commercial Tax November/December</t>
  </si>
  <si>
    <t>Demob Golden Dowa</t>
  </si>
  <si>
    <t>Materials Deco Painting PSW Week 03</t>
  </si>
  <si>
    <t xml:space="preserve">Monthly Salaries </t>
  </si>
  <si>
    <t>Previous Price</t>
  </si>
  <si>
    <t>New Price</t>
  </si>
  <si>
    <t>Increase</t>
  </si>
  <si>
    <t>Jotashield AF 5L</t>
  </si>
  <si>
    <t>Jotashield AF 20L</t>
  </si>
  <si>
    <t>Jotashield Primer 20L</t>
  </si>
  <si>
    <t>Majestic True Beauty 5L</t>
  </si>
  <si>
    <t>Majestic True Beauty 20L</t>
  </si>
  <si>
    <t>Majestic Primer 5L</t>
  </si>
  <si>
    <t>Majestic Primer 20L</t>
  </si>
  <si>
    <t>Materials BYMA Week 03</t>
  </si>
  <si>
    <t>Myr 219 03 206</t>
  </si>
  <si>
    <t>Fuel for Office Generator</t>
  </si>
  <si>
    <t>Materials Blasting Chamber</t>
  </si>
  <si>
    <t>Driver OT Office Ferry</t>
  </si>
  <si>
    <t>Wheels for Mobile Scaff</t>
  </si>
  <si>
    <t>Bank charges E Statement</t>
  </si>
  <si>
    <t>Membership Fee CC1</t>
  </si>
  <si>
    <t>Ferries Charges Week 4</t>
  </si>
  <si>
    <t>Fuel Charges Week 4</t>
  </si>
  <si>
    <t>Myr 220 03 0008</t>
  </si>
  <si>
    <t>Compressor Rental Myanmar Precision</t>
  </si>
  <si>
    <t>Materials Myanmar Precision Week 4</t>
  </si>
  <si>
    <t>Communication and Transportation Chan Thar Week 47 - 48</t>
  </si>
  <si>
    <t>Networking Fees CCI</t>
  </si>
  <si>
    <t>Transportation Ma Lwin Mandalay</t>
  </si>
  <si>
    <t>Materials BYMA Week 4</t>
  </si>
  <si>
    <t>Flight Mandalay Ma Lwin</t>
  </si>
  <si>
    <t>Electricity EDG</t>
  </si>
  <si>
    <t>OT Ferry Thanlyn</t>
  </si>
  <si>
    <t>OT Ferry EDG</t>
  </si>
  <si>
    <t>OT Ferry Mr Hung Car</t>
  </si>
  <si>
    <t>Communicatin and Transportation Ma Lwin Week 49 - 52</t>
  </si>
  <si>
    <t>Communication Charges Myo Kant Week 49 - 01</t>
  </si>
  <si>
    <t>Communication Charges Yar Zar Tun Week 49 - 52</t>
  </si>
  <si>
    <t>Communication and Transportation Charges Thet Naing Oo Week 49 -01</t>
  </si>
  <si>
    <t>Communication and Transportation Sandi Week 49 - 01</t>
  </si>
  <si>
    <t>Communcation and Transportation San Lwin Week 49 - 01</t>
  </si>
  <si>
    <t>Communication and Transportation Ei Zin Week 49 - 01</t>
  </si>
  <si>
    <t>Communication Charges Tun Lin Kyaw Week 50 - 52</t>
  </si>
  <si>
    <t>Communication Charges Win Kyaing Week 49 - 52</t>
  </si>
  <si>
    <t>Communication Charges Ye Htut Week 49 - 01</t>
  </si>
  <si>
    <t>Communication Charges Hla Tint Week 49 - 01</t>
  </si>
  <si>
    <t>Communication Charges Tin Lin Aung Week 49 - 52</t>
  </si>
  <si>
    <t>Communication charges Chan Thar Week 49 - 52</t>
  </si>
  <si>
    <t>Communication and Transportation Charges Su Thandar Week 49 - 01</t>
  </si>
  <si>
    <t>Communication and Transportation Lay Shar Week 49 - 01</t>
  </si>
  <si>
    <t>Thanlyn Hostel 6 Months Rental</t>
  </si>
  <si>
    <t>Materials M Tower Mock Up</t>
  </si>
  <si>
    <t>Electricity SPK Hostel</t>
  </si>
  <si>
    <t>Transportation Khine</t>
  </si>
  <si>
    <t>Communication and Transportation Ye Naing Week 49 - 52</t>
  </si>
  <si>
    <t>Payment Request Blandine 24/01/2020</t>
  </si>
  <si>
    <t>Belzona Training Khine</t>
  </si>
  <si>
    <t>Materials PSW Deco Painting Week 4</t>
  </si>
  <si>
    <t>Transportation Communication Charlotte Week 2/3</t>
  </si>
  <si>
    <t>Bank Charges</t>
  </si>
  <si>
    <t>Ferries Charges Week 7</t>
  </si>
  <si>
    <t>Myr 219 03 0168</t>
  </si>
  <si>
    <t>SSB January 2020</t>
  </si>
  <si>
    <t>Communication Charges Tun Lin Kyaw Week 45 - 48</t>
  </si>
  <si>
    <t>Fame Contract</t>
  </si>
  <si>
    <t>Ferries Charges Week 05</t>
  </si>
  <si>
    <t>Belzona Training Flight + Hotel</t>
  </si>
  <si>
    <t>Fuel Charges Myanmar Precision Week 5</t>
  </si>
  <si>
    <t>Materilas BYMA Deco Painting Week 5</t>
  </si>
  <si>
    <t>Thanlynn Ferry January</t>
  </si>
  <si>
    <t>OT Thanlynn Ferry January</t>
  </si>
  <si>
    <t>Workers Salaries January</t>
  </si>
  <si>
    <t>Bus Ticket, Accomodation and Car Pyin Oo Lwin</t>
  </si>
  <si>
    <t>Fuel Charges Week 6/7</t>
  </si>
  <si>
    <t>Ferries Charges Week 5</t>
  </si>
  <si>
    <t>Materials Mock Up M Tower</t>
  </si>
  <si>
    <t>Office Salaries January 2020</t>
  </si>
  <si>
    <t>Materials Maintenance</t>
  </si>
  <si>
    <t>Materials Myanmar Precision Week 7</t>
  </si>
  <si>
    <t>Materials PSW Deco Painting Week 7</t>
  </si>
  <si>
    <t>Materials Fame Week 7</t>
  </si>
  <si>
    <t>Mr Hung Food Allowance January 2020</t>
  </si>
  <si>
    <t>Materials Fame Pyin Oo Lwin</t>
  </si>
  <si>
    <t>Materials STO Pyin Oo Lwin</t>
  </si>
  <si>
    <t>Materials BYMA Mock Up Week 7</t>
  </si>
  <si>
    <t>Stamp Duty Tax Hing Yang Contract</t>
  </si>
  <si>
    <t>Myanmar Times Subscription</t>
  </si>
  <si>
    <t>Myr 220 03 0032</t>
  </si>
  <si>
    <t>Materials Materials CPP Week 7</t>
  </si>
  <si>
    <t>Income Tax Blandine</t>
  </si>
  <si>
    <t>Stamp Duty Tax Fame Contract</t>
  </si>
  <si>
    <t>Commercial Tax january</t>
  </si>
  <si>
    <t>Refund Money Injection February Salary</t>
  </si>
  <si>
    <t>Mr Hung Car January 2020</t>
  </si>
  <si>
    <t>Office Ferry January 2020</t>
  </si>
  <si>
    <t>EDG Ferry January 2020</t>
  </si>
  <si>
    <t>Blandine Car January</t>
  </si>
  <si>
    <t>Kargo Mob Myanma Precision</t>
  </si>
  <si>
    <t>OT EDG Ferry January</t>
  </si>
  <si>
    <t>Mr Hung Claim</t>
  </si>
  <si>
    <t>Materials Office Week 7</t>
  </si>
  <si>
    <t>Transportation Charlotte Week 4/5</t>
  </si>
  <si>
    <t>Transportation Charges Lwin Lwin Moe</t>
  </si>
  <si>
    <t>Transportation Charlotte Week 5/6</t>
  </si>
  <si>
    <t>Transportation and Communication Thet Naing Oo Week 2 - 5</t>
  </si>
  <si>
    <t>Transportation and Communication Sandi Week 2 - 5</t>
  </si>
  <si>
    <t>Transportation and Communication Lay Shar Week 2 - 5</t>
  </si>
  <si>
    <t>Communication Kay Zin Week 2 - 5</t>
  </si>
  <si>
    <t>Transportation and Communication Khine Week 2 - 5</t>
  </si>
  <si>
    <t>Transportation and Communication Su Thandar Week 2 - 5</t>
  </si>
  <si>
    <t>Communication Myo Khant Week 2 - 5</t>
  </si>
  <si>
    <t>Communication Tin Lin Week 2 - 5</t>
  </si>
  <si>
    <t>Communication Hla Tint Week 2 - 5</t>
  </si>
  <si>
    <t>Communication Ye Htut Week 2 - 5</t>
  </si>
  <si>
    <t>Communication Win Kyaing Week 2 - 5</t>
  </si>
  <si>
    <t>Communication Tun Lin Kyaw Week 2 - 5</t>
  </si>
  <si>
    <t>Communication Ye Naing Week 2 - 5</t>
  </si>
  <si>
    <t>Transportation and Communication Lwin Lwin Week 2 - 5</t>
  </si>
  <si>
    <t>Transportation and Communication San Lwin Week 2 - 5</t>
  </si>
  <si>
    <t>Transportation and Communication Ei Zin Week 2 - 5</t>
  </si>
  <si>
    <t>Installment 4</t>
  </si>
  <si>
    <t>Transportation Meetings Ma Lwin</t>
  </si>
  <si>
    <t>Materials BYMA Week 07</t>
  </si>
  <si>
    <t>Accomodation &amp; Transportation POL Survey</t>
  </si>
  <si>
    <t>Bus Ticket Pyin Oo Lwin</t>
  </si>
  <si>
    <t>Meal Allowance + Hostel + Ferry PYO</t>
  </si>
  <si>
    <t>Daily Workers Hire POL</t>
  </si>
  <si>
    <t>Office Rental January</t>
  </si>
  <si>
    <t>Ferries Week 8</t>
  </si>
  <si>
    <t>Office Materials Week 7</t>
  </si>
  <si>
    <t>Accomodation, Meal Allowance and Transportation for PoL</t>
  </si>
  <si>
    <t xml:space="preserve">Penetron Invoice </t>
  </si>
  <si>
    <t>Compressor Rental Myanmar Precison</t>
  </si>
  <si>
    <t>OT Driver Mr Hung</t>
  </si>
  <si>
    <t>admin Fees</t>
  </si>
  <si>
    <t>IT Equipment Khine</t>
  </si>
  <si>
    <t>Purchasing Resuest San Lwin</t>
  </si>
  <si>
    <t>Personal Income Tax Blandine</t>
  </si>
  <si>
    <t>Belzona Payment Order 4</t>
  </si>
  <si>
    <t>Materials BYMA Week 7</t>
  </si>
  <si>
    <t>Electricity Bill EDG January 2020</t>
  </si>
  <si>
    <t>PPE CPP</t>
  </si>
  <si>
    <t>Payment Request Blandine 04/02/2020</t>
  </si>
  <si>
    <t>Flight Khine Mandalay</t>
  </si>
  <si>
    <t>A1</t>
  </si>
  <si>
    <t>Boom Truck Rental</t>
  </si>
  <si>
    <t>Materials CPP Week 9</t>
  </si>
  <si>
    <t>Ferries Charges Week 10</t>
  </si>
  <si>
    <t xml:space="preserve">Transportation Meeting Khine </t>
  </si>
  <si>
    <t>Ferries Charges Week 09</t>
  </si>
  <si>
    <t>Electricity Bill Thanlynn Hostel</t>
  </si>
  <si>
    <t>Transportation Meeting Ma Lwin</t>
  </si>
  <si>
    <t>Light Truck Rental CPP</t>
  </si>
  <si>
    <t>Pyin Oo Lwin Project 5 - 9th March</t>
  </si>
  <si>
    <t>Pyin Oo Lwin Project 2 - 4th March</t>
  </si>
  <si>
    <t>Materials BYMA Week 9</t>
  </si>
  <si>
    <t>Workers Salaries February</t>
  </si>
  <si>
    <t>Office Ferry February</t>
  </si>
  <si>
    <t>Mr Hung Car February</t>
  </si>
  <si>
    <t>Mr Hung Food Allowance February 2020</t>
  </si>
  <si>
    <t>Blandine Car February</t>
  </si>
  <si>
    <t>HDPE Welding Rod</t>
  </si>
  <si>
    <t>Blandine Business Development Trip 02/06 March</t>
  </si>
  <si>
    <t>Materials Golden Dowa Week 10</t>
  </si>
  <si>
    <t>Myr 220 03 0067</t>
  </si>
  <si>
    <t>Mob Golden Dowa Week 10</t>
  </si>
  <si>
    <t>Bank Transfer Admin</t>
  </si>
  <si>
    <t>Transportation Cargo Charges</t>
  </si>
  <si>
    <t>Bosche</t>
  </si>
  <si>
    <t>Grinder BYMA Site</t>
  </si>
  <si>
    <t>Mr Hung Site Expenses</t>
  </si>
  <si>
    <t>Materials PSW Week 05</t>
  </si>
  <si>
    <t>Materials YCP Week 06</t>
  </si>
  <si>
    <t>Myr 219 02 0206</t>
  </si>
  <si>
    <t>Myr 210 03 0206</t>
  </si>
  <si>
    <t>Materials YCP Week 08</t>
  </si>
  <si>
    <t>Materials PSW Week 03</t>
  </si>
  <si>
    <t>Materials YCP Week 04</t>
  </si>
  <si>
    <t xml:space="preserve">Materials PSW </t>
  </si>
  <si>
    <t>SSB February 2020</t>
  </si>
  <si>
    <t>Ferries Week 11</t>
  </si>
  <si>
    <t xml:space="preserve">Ananda Top Up </t>
  </si>
  <si>
    <t>Mr Hung Visa Extension</t>
  </si>
  <si>
    <t>STO</t>
  </si>
  <si>
    <t>Office Rental February</t>
  </si>
  <si>
    <t>Communication Yar Zar Tun Week 6 - 9</t>
  </si>
  <si>
    <t>Communication Kay Zin Mon Week 6 - 9</t>
  </si>
  <si>
    <t>Communication and Transportation Lwin Lwin Week 6 - 9</t>
  </si>
  <si>
    <t>Communication and Tansportation Su Thandar Week 6 - 9</t>
  </si>
  <si>
    <t>Communication Yar Zar Tun Week 2 - 5</t>
  </si>
  <si>
    <t>Communication Win Kyaing Week 6 - 9</t>
  </si>
  <si>
    <t>Communication Tun Lin Kyaw Week 6 - 9</t>
  </si>
  <si>
    <t>Communication Hla Tint Week 6 - 9</t>
  </si>
  <si>
    <t>Communication Tin Lin Aung Week 6, 9</t>
  </si>
  <si>
    <t>Communication Myo Khant Week 6 - 9</t>
  </si>
  <si>
    <t>Communication Ye Htut Week 6 - 9</t>
  </si>
  <si>
    <t>Communication and Tansportation San Lwin Aung Week 6 - 9</t>
  </si>
  <si>
    <t>Communication and Tansportation Thet Naing Oo Week 6 - 9</t>
  </si>
  <si>
    <t>Communication and Tansportation Lay Shar Week 6 - 9</t>
  </si>
  <si>
    <t>Communication and Transportation Ei Zin Week 6 - 9</t>
  </si>
  <si>
    <t>Transportatin POL</t>
  </si>
  <si>
    <t>Hand Sanitizer</t>
  </si>
  <si>
    <t>Hotel Fee workers Fame</t>
  </si>
  <si>
    <t>Bus Ticket Staff</t>
  </si>
  <si>
    <t>Hotel and Trnasportation Mr Hung/Kay Zin</t>
  </si>
  <si>
    <t>Materilas BYMA Week 11</t>
  </si>
  <si>
    <t>Materials BYMA Week 12</t>
  </si>
  <si>
    <t>Salary Charlotte</t>
  </si>
  <si>
    <t>Materilas Xdesign Week 12</t>
  </si>
  <si>
    <t>Myr 219 03 0282</t>
  </si>
  <si>
    <t>Maintenance Ventilation Fan</t>
  </si>
  <si>
    <t>Ferries Charges Week 12</t>
  </si>
  <si>
    <t>Payment Request Ye Htut</t>
  </si>
  <si>
    <t>OT Hung Ferry</t>
  </si>
  <si>
    <t>Khine Transportation Mandalay</t>
  </si>
  <si>
    <t>Cargo Charges Pyin Oo Lwin</t>
  </si>
  <si>
    <t>Transportaiton for Meetings</t>
  </si>
  <si>
    <t>Payment Kargo</t>
  </si>
  <si>
    <t>Floor Hardener</t>
  </si>
  <si>
    <t xml:space="preserve">Masks </t>
  </si>
  <si>
    <t>Ferries Charges Week 13</t>
  </si>
  <si>
    <t>Materials BYMA Week 13</t>
  </si>
  <si>
    <t>Freight Charges Belzona order</t>
  </si>
  <si>
    <t>Apex</t>
  </si>
  <si>
    <t>Electricity Bill SPK Hostel</t>
  </si>
  <si>
    <t>Shipment Belzona</t>
  </si>
  <si>
    <t>Materilas PSW</t>
  </si>
  <si>
    <t>Communication and Transportation SAndi Week 6 - 9</t>
  </si>
  <si>
    <t>Communication and Transportation Khine Week 6 - 9</t>
  </si>
  <si>
    <t>Transportation Charges BYMA</t>
  </si>
  <si>
    <t>Electricity Bill EDG Office February</t>
  </si>
  <si>
    <t>Communication and Transportation Ye NaingWeek 6 - 9</t>
  </si>
  <si>
    <t>Demob POL</t>
  </si>
  <si>
    <t>Office Ferry March</t>
  </si>
  <si>
    <t>Mr Hung Car</t>
  </si>
  <si>
    <t>Diesel Stock</t>
  </si>
  <si>
    <t>Lock</t>
  </si>
  <si>
    <t>Thermometer</t>
  </si>
  <si>
    <t>Car rental Charges March</t>
  </si>
  <si>
    <t>Car Insurance Blandine</t>
  </si>
  <si>
    <t>Office Rental March</t>
  </si>
  <si>
    <t>Workers Salary March</t>
  </si>
  <si>
    <t>Materials POL 1st Installment</t>
  </si>
  <si>
    <t>Jotun Invoice POL 1st Installment</t>
  </si>
  <si>
    <t>Jotun Invoice POL 2n Installment</t>
  </si>
  <si>
    <t>Electricity EDG March</t>
  </si>
  <si>
    <t>Stamp Tax</t>
  </si>
  <si>
    <t>April Salary</t>
  </si>
  <si>
    <t>Transportation Charges Workers BYMA</t>
  </si>
  <si>
    <t>Welding Rod CPP</t>
  </si>
  <si>
    <t>Myr 220 03 0206</t>
  </si>
  <si>
    <t>Truck Rental Scaffolding BYMA</t>
  </si>
  <si>
    <t>Office Materials</t>
  </si>
  <si>
    <t>SSB April 2020</t>
  </si>
  <si>
    <t>SSB March 2020</t>
  </si>
  <si>
    <t>Ferry Charges Week 19</t>
  </si>
  <si>
    <t>Myanmar Times</t>
  </si>
  <si>
    <t>Myr 219 02 0219</t>
  </si>
  <si>
    <t>Paint PSW</t>
  </si>
  <si>
    <t>Electricity Bill Thanlyn</t>
  </si>
  <si>
    <t>KDR</t>
  </si>
  <si>
    <t>HDPE Membrane</t>
  </si>
  <si>
    <t>KBZ Bank Transfer</t>
  </si>
  <si>
    <t>Stamp Duty Thanlynn Hostel</t>
  </si>
  <si>
    <t>Paint YCP</t>
  </si>
  <si>
    <t>Cash Injection Salaries April</t>
  </si>
  <si>
    <t>Transportation Workers BYMA Week 18/17</t>
  </si>
  <si>
    <t>Payment Request Blandine 14/05</t>
  </si>
  <si>
    <t>Tbosiet Payment</t>
  </si>
  <si>
    <t>Payment Ferries and Consumables Week 22</t>
  </si>
  <si>
    <t>Money Injection Salaries May</t>
  </si>
  <si>
    <t>Apartment Rental Blandine July - November 2020</t>
  </si>
  <si>
    <t>Apartment Rental Blandine December 2019 - June 2020</t>
  </si>
  <si>
    <t>Myr 218 03 0221</t>
  </si>
  <si>
    <t>Consumables PSW Week 25</t>
  </si>
  <si>
    <t>Boom Trueck Rental For T303</t>
  </si>
  <si>
    <t>Consumables BYMA Deco Week 26</t>
  </si>
  <si>
    <t>Ferries Charges Week 25</t>
  </si>
  <si>
    <t>Light Truck Rental Mob PSW</t>
  </si>
  <si>
    <t>Consumables BYMA BYMA Week 26</t>
  </si>
  <si>
    <t>Social Security May</t>
  </si>
  <si>
    <t>Rain Boots PSW 7 workers</t>
  </si>
  <si>
    <t>Communication Charges Khine Week 18 - 22</t>
  </si>
  <si>
    <t>Communication Charges Su Thandar Week 10 - 13</t>
  </si>
  <si>
    <t>Communication &amp; Transportation Charges Ei Zin Week 10 - 13</t>
  </si>
  <si>
    <t>Communication Charges Kay Zin Week 10 - 13</t>
  </si>
  <si>
    <t>Communication and Transportation Charges San Lwin Week 10 - 13</t>
  </si>
  <si>
    <t>Communication and Transportatio Charges Khine Week 10 - 13</t>
  </si>
  <si>
    <t>Communication and Transportation Charges Thet naing Oo Week 10 - 13</t>
  </si>
  <si>
    <t>Communication and Transportation Charges Ye Naing Week 10 - 13</t>
  </si>
  <si>
    <t>Communication Charges Myo Khant Week 10 - 13</t>
  </si>
  <si>
    <t>Communication Charges Tun Lin Kyaw Weel 10 - 13</t>
  </si>
  <si>
    <t>Communication Charges Tin Lin Aung Week 10 - 13</t>
  </si>
  <si>
    <t>Communication Charges Win Kyaing Week 10 - 13</t>
  </si>
  <si>
    <t>Communication Charges Ye Htut Week 10 - 13</t>
  </si>
  <si>
    <t>Communication Charges Yar Zar Tun week 10 - 13</t>
  </si>
  <si>
    <t>Mr Hung Appartment Rental Charges</t>
  </si>
  <si>
    <t>Application Original DICA For Import License</t>
  </si>
  <si>
    <t>Ferries Charges Week 24</t>
  </si>
  <si>
    <t>Electrical Breaker</t>
  </si>
  <si>
    <t>Workers Hostel Rental 1 month</t>
  </si>
  <si>
    <t>Office Rental May</t>
  </si>
  <si>
    <t>Transportation Fees Workers</t>
  </si>
  <si>
    <t>Ferries Charges Week 20</t>
  </si>
  <si>
    <t>Generator Repairing Charges</t>
  </si>
  <si>
    <t>Workers Insurance 26</t>
  </si>
  <si>
    <t>Materials CPP Week 32</t>
  </si>
  <si>
    <t>Materials Maintenance Week 21</t>
  </si>
  <si>
    <t>Materials Y complex Week 21</t>
  </si>
  <si>
    <t>Materials Y Complex Week 21</t>
  </si>
  <si>
    <t>Myr 220 03 0027</t>
  </si>
  <si>
    <t>Materials BYMA Week 21</t>
  </si>
  <si>
    <t>Electricity Bill EDG April 2020</t>
  </si>
  <si>
    <t>Myr 220 03 0110</t>
  </si>
  <si>
    <t>Materials Dawn Week 22</t>
  </si>
  <si>
    <t>Materials CPP Week 21</t>
  </si>
  <si>
    <t>Myr 220 03 0108</t>
  </si>
  <si>
    <t>Materials Antaco PSW Week 22</t>
  </si>
  <si>
    <t>Materials Deco Painting Antaco PSW</t>
  </si>
  <si>
    <t>Transportation Fees Su Thandar</t>
  </si>
  <si>
    <t>Ferries Charges Week 21</t>
  </si>
  <si>
    <t>Consumables BYMA Week 22</t>
  </si>
  <si>
    <t>Salaries May</t>
  </si>
  <si>
    <t>Naing Win PPE</t>
  </si>
  <si>
    <t>Myr 220 03 0125</t>
  </si>
  <si>
    <t>Mr Hung Food Alowance May 2020</t>
  </si>
  <si>
    <t>Transportation charges Lwin Lwin Moe</t>
  </si>
  <si>
    <t>Communication and Transportation Charges Lwin Week 10 - 13</t>
  </si>
  <si>
    <t>Transportaiton Khine</t>
  </si>
  <si>
    <t>Materials CPP Week 23</t>
  </si>
  <si>
    <t>PPE Petronas</t>
  </si>
  <si>
    <t>Office Ferry May</t>
  </si>
  <si>
    <t>Mr Hung Car May</t>
  </si>
  <si>
    <t>Ferries Week 23</t>
  </si>
  <si>
    <t>Pneumatic Equipment Petronas</t>
  </si>
  <si>
    <t>Tools &amp; Consumable Petronas</t>
  </si>
  <si>
    <t>Bank Charges CPP Cheque</t>
  </si>
  <si>
    <t xml:space="preserve">Electricity EDG </t>
  </si>
  <si>
    <t>Boom Truck Rental 22/06</t>
  </si>
  <si>
    <t>Internet 3 Months Office</t>
  </si>
  <si>
    <t>Materials BYMA Week 26</t>
  </si>
  <si>
    <t>Materials Antaco PSW Deco Painting Week 26</t>
  </si>
  <si>
    <t>Paint Antaco Week 26</t>
  </si>
  <si>
    <t>Consumables BYMA Week 27</t>
  </si>
  <si>
    <t>Ferry Charges Week 26</t>
  </si>
  <si>
    <t>BYMA</t>
  </si>
  <si>
    <t>Belzona Training</t>
  </si>
  <si>
    <t>Consumables KTEG Week 27</t>
  </si>
  <si>
    <t>Myr 219 03 0007</t>
  </si>
  <si>
    <t>Consumables Antaco Week 28</t>
  </si>
  <si>
    <t>Truck Rental week 27</t>
  </si>
  <si>
    <t>Consumables CPP Week 27</t>
  </si>
  <si>
    <t>Consumables Office July</t>
  </si>
  <si>
    <t>Ferry Charges Week 28</t>
  </si>
  <si>
    <t>Ferry Charges Week 27</t>
  </si>
  <si>
    <t>Grass Cutting Macine</t>
  </si>
  <si>
    <t>Medical Fee Naing Win + Soe Lwin Lwin</t>
  </si>
  <si>
    <t>Payment Request Blandine 29/04</t>
  </si>
  <si>
    <t>Lighting</t>
  </si>
  <si>
    <t>Mr Hung Car June 2020</t>
  </si>
  <si>
    <t>Mr Hung Food Allowance June 2020</t>
  </si>
  <si>
    <t>Office Rental Charges</t>
  </si>
  <si>
    <t>OT Mr Hung Driver</t>
  </si>
  <si>
    <t>Bank Fee Sandi</t>
  </si>
  <si>
    <t>Aircon Service Fee Paint Store</t>
  </si>
  <si>
    <t>Consumables KTEG Week 28</t>
  </si>
  <si>
    <t>Payment request Mr Hung</t>
  </si>
  <si>
    <t>Myr 220 03 0152</t>
  </si>
  <si>
    <t>Materials Speakers Week 32</t>
  </si>
  <si>
    <t>Boom Truck Rental 05/08</t>
  </si>
  <si>
    <t>Spare Parts Maintenance Grinding Machines</t>
  </si>
  <si>
    <t xml:space="preserve">Belzona Training </t>
  </si>
  <si>
    <t>Materials Mock Up Speakers</t>
  </si>
  <si>
    <t>Stamp Tax for Hotels and Mr Hung Apartment</t>
  </si>
  <si>
    <t>Consumables BYMA Deco Painting Week 32</t>
  </si>
  <si>
    <t>Ferry Charges Week 29</t>
  </si>
  <si>
    <t>Materials Kyaw Thar Tank</t>
  </si>
  <si>
    <t>Materials Antaco Tank</t>
  </si>
  <si>
    <t>Payment Belzona Materials Petronas</t>
  </si>
  <si>
    <t>Salaries Workers June</t>
  </si>
  <si>
    <t>Office Salaries June 2020</t>
  </si>
  <si>
    <t>SPK Workers Hostel 13/07 - 13/08</t>
  </si>
  <si>
    <t>Consumables BYMA Week 28</t>
  </si>
  <si>
    <t>Fame</t>
  </si>
  <si>
    <t>Myr 219 03 0129</t>
  </si>
  <si>
    <t>Consumables Fame Week 28</t>
  </si>
  <si>
    <t>Office Ferry Charges June 2020</t>
  </si>
  <si>
    <t>T Bosiet Soe Lwin Lwin</t>
  </si>
  <si>
    <t>Electricity Bill EDG June 2020</t>
  </si>
  <si>
    <t>Consumables BYMA Week 29</t>
  </si>
  <si>
    <t>Employees Salaries</t>
  </si>
  <si>
    <t>Consumables BYMA Week 32</t>
  </si>
  <si>
    <t>Equipment Petronas</t>
  </si>
  <si>
    <t>Food Allowance Mr Hung</t>
  </si>
  <si>
    <t>Office Ferry July 2020</t>
  </si>
  <si>
    <t>Mr Hung Car July 2020</t>
  </si>
  <si>
    <t>Electricity Bill EDG Warehouse</t>
  </si>
  <si>
    <t>Workers' Hostel July 2020</t>
  </si>
  <si>
    <t>Materials BYMA Week 35</t>
  </si>
  <si>
    <t>Materials FAME Week 35</t>
  </si>
  <si>
    <t>KKBZ Withdrawal Fees</t>
  </si>
  <si>
    <t>Materials KT Week 35</t>
  </si>
  <si>
    <t>Materials Petronas Week 35</t>
  </si>
  <si>
    <t>Ferry Charges Week 33</t>
  </si>
  <si>
    <t>Ferry Charges Week 34</t>
  </si>
  <si>
    <t>Steel Saw Blade</t>
  </si>
  <si>
    <t>Thanlyn Hostel 1 month</t>
  </si>
  <si>
    <t>Ferry Charges Week 30</t>
  </si>
  <si>
    <t>Myr 220 03 0165</t>
  </si>
  <si>
    <t>HTCT Concrete 80%</t>
  </si>
  <si>
    <t>Advance Concrete Application Fame</t>
  </si>
  <si>
    <t>Consumables Antaco Week 34</t>
  </si>
  <si>
    <t>Consumables BYMA Week 34</t>
  </si>
  <si>
    <t>PPE New Workers</t>
  </si>
  <si>
    <t>Fuel charges July + battery</t>
  </si>
  <si>
    <t xml:space="preserve">Office Ferry August </t>
  </si>
  <si>
    <t>Mr Hung Car August 2020</t>
  </si>
  <si>
    <t>Meal Allowance Mr Hung August</t>
  </si>
  <si>
    <t>Office Rental Charges July</t>
  </si>
  <si>
    <t>Comunication and Transportation Charges Lay Shar Week 10 - 13</t>
  </si>
  <si>
    <t>Mr Hung Appartment Rental Charges 26/08 - 25/10</t>
  </si>
  <si>
    <t>Thanlynn Hostel 10/09 - 10/10</t>
  </si>
  <si>
    <t>Consumables Fame week 34</t>
  </si>
  <si>
    <t>Consumables BYMA Week 37</t>
  </si>
  <si>
    <t>Consumables Office August</t>
  </si>
  <si>
    <t>Last Installment Car Blandine May</t>
  </si>
  <si>
    <t>Local Salary Blandine January 2020</t>
  </si>
  <si>
    <t>Local Salary Blandine February 2020</t>
  </si>
  <si>
    <t>Local Salary Blandine December 2019</t>
  </si>
  <si>
    <t>Local Salary Blandine March 2020</t>
  </si>
  <si>
    <t>Local Salary Blandine May 2020</t>
  </si>
  <si>
    <t>Local Salary Blandine June 2020</t>
  </si>
  <si>
    <t>Local Salary Blandine July 2020</t>
  </si>
  <si>
    <t>Local Salary Blandine August 2020</t>
  </si>
  <si>
    <t>Blandine Car April</t>
  </si>
  <si>
    <t>Epocem Fame</t>
  </si>
  <si>
    <t>Hung Driver OT</t>
  </si>
  <si>
    <t>Mr Hung</t>
  </si>
  <si>
    <t>Payment Request 16/06</t>
  </si>
  <si>
    <t>Payment Request 22/08</t>
  </si>
  <si>
    <t>Paint Antaco PSW</t>
  </si>
  <si>
    <t>Annual Return</t>
  </si>
  <si>
    <t>Maintenance Office</t>
  </si>
  <si>
    <t xml:space="preserve">Light BYMA </t>
  </si>
  <si>
    <t>SSB August 2020</t>
  </si>
  <si>
    <t>Concrete Fame</t>
  </si>
  <si>
    <t>SPK Hostel 13/09 - 13/10</t>
  </si>
  <si>
    <t>SSB July 2020</t>
  </si>
  <si>
    <t>Commercial Tax March 2020</t>
  </si>
  <si>
    <t>Commercial Tax May 2020</t>
  </si>
  <si>
    <t>Commercial Tax June 2020</t>
  </si>
  <si>
    <t>Commercial Tax July 2020</t>
  </si>
  <si>
    <t>Office Rental Charges August</t>
  </si>
  <si>
    <t>Penetron Coating Dawn</t>
  </si>
  <si>
    <t>Materials BYMA Week 37</t>
  </si>
  <si>
    <t>SSB June 2020</t>
  </si>
  <si>
    <t>Ferries Charges Week 37</t>
  </si>
  <si>
    <t>Ferries Charges Week 39</t>
  </si>
  <si>
    <t>Labour Charges Concrete Fame</t>
  </si>
  <si>
    <t xml:space="preserve">Mr Hung Car September </t>
  </si>
  <si>
    <t>Blandine Visa</t>
  </si>
  <si>
    <t>Workers Salaries September</t>
  </si>
  <si>
    <t>Office Salaries September</t>
  </si>
  <si>
    <t>Indirect</t>
  </si>
  <si>
    <t>Salaries</t>
  </si>
  <si>
    <t>August</t>
  </si>
  <si>
    <t>Direct</t>
  </si>
  <si>
    <t>September</t>
  </si>
  <si>
    <t>cash book</t>
  </si>
  <si>
    <t>ssb</t>
  </si>
  <si>
    <t>Belzona</t>
  </si>
  <si>
    <t>office/visa</t>
  </si>
  <si>
    <t>Custom Clearances Belzona</t>
  </si>
  <si>
    <t>Myr 219 03 0124</t>
  </si>
  <si>
    <t>Paint Fame</t>
  </si>
  <si>
    <t>Paint SL Fame</t>
  </si>
  <si>
    <t>IP</t>
  </si>
  <si>
    <t>Paint Epoxy BYMA</t>
  </si>
  <si>
    <t>NIppon</t>
  </si>
  <si>
    <t>Invoice Cross Border Petronas</t>
  </si>
  <si>
    <t>Payment Request Blandine 24/09</t>
  </si>
  <si>
    <t>Medical Check Up Offshore</t>
  </si>
  <si>
    <t>Consumables BYMA after Lockdown</t>
  </si>
  <si>
    <t>Electricity Bill EDG</t>
  </si>
  <si>
    <t>Ei Zin</t>
  </si>
  <si>
    <t>Import License Fee</t>
  </si>
  <si>
    <t>Karzo</t>
  </si>
  <si>
    <t>Karzo HDPE Import Custom Fees</t>
  </si>
  <si>
    <t>Karzo HDPE Import Service Charge</t>
  </si>
  <si>
    <t>Communication and Transportation Charges Ye Naing Week 32 - 36</t>
  </si>
  <si>
    <t>Communication and Transportation Charges Ye Naing Week 18 - 26</t>
  </si>
  <si>
    <t>Communication Charges Myo Khant Week 27 - 31</t>
  </si>
  <si>
    <t>Communication Charges Myo Khant Week 19 - 26</t>
  </si>
  <si>
    <t>Communication Charges Kay Zin Week 19 - 22</t>
  </si>
  <si>
    <t>Communication Charges Kay Zin Week 23 - 26</t>
  </si>
  <si>
    <t>Communication Charges Hla Tint Week 10 - 13</t>
  </si>
  <si>
    <t>Communication Charges Sandi Week 10 - 13</t>
  </si>
  <si>
    <t>Communication Charges Ei Zin Week 19 - 26</t>
  </si>
  <si>
    <t>Communication Charges Su Thandar Week 19 - 26</t>
  </si>
  <si>
    <t>Communication Charges Ye Htut Week 19 - 26</t>
  </si>
  <si>
    <t>Communication Charges Tin Lin Aung Week 19 - 26</t>
  </si>
  <si>
    <t>Communication Charges Tun Lun Kyaw Week 19 - 26</t>
  </si>
  <si>
    <t>Communication Charges Win Kyaing Week 19 - 26</t>
  </si>
  <si>
    <t>Communication Charges Ye Htut Week 27 - 31</t>
  </si>
  <si>
    <t>Communication Charges Hla Tint Week 27 - 31</t>
  </si>
  <si>
    <t>Communication Charges Su Thandar Week 27 - 31</t>
  </si>
  <si>
    <t>Communication Charges Sandi Week 27 - 31</t>
  </si>
  <si>
    <t>Communication Charges Ei Zin Week 27 - 31</t>
  </si>
  <si>
    <t>Invoice Bollore Handling Fees</t>
  </si>
  <si>
    <t>Invoice Air Freight Belzona Shipment</t>
  </si>
  <si>
    <t>Bollore</t>
  </si>
  <si>
    <t>Mr Hung Appartment</t>
  </si>
  <si>
    <t>TBosiet Kay Zin and Ye Htut</t>
  </si>
  <si>
    <t>Ferries Charges Week 43</t>
  </si>
  <si>
    <t>Ferries Charges Week 44</t>
  </si>
  <si>
    <t>Materials Rotary</t>
  </si>
  <si>
    <t>Communication and Transportation Charges Ei Zin Week 32 - 38</t>
  </si>
  <si>
    <t>Communication and Transportation Charges Su Thandar Week 36 - 38</t>
  </si>
  <si>
    <t>Payment for COVID Prevention Materials</t>
  </si>
  <si>
    <t>Consumables for KTECG</t>
  </si>
  <si>
    <t xml:space="preserve">Consumables for Antaco </t>
  </si>
  <si>
    <t>Consumables for BYMA</t>
  </si>
  <si>
    <t>Ferries Week 43</t>
  </si>
  <si>
    <t>Communication Charges Sandi Week 19 - 26</t>
  </si>
  <si>
    <t>Communication Charges Hla Tint Week 19 - 26</t>
  </si>
  <si>
    <t>Communication Charges Yar Zar Tun Week 19 - 26</t>
  </si>
  <si>
    <t>Comunication Charges Yar Zar Tun Week 27 - 31</t>
  </si>
  <si>
    <t xml:space="preserve">Consumable for Petronas </t>
  </si>
  <si>
    <t>Maintenance Car</t>
  </si>
  <si>
    <t>Hostel Thanlyn &amp; SPK 1 months</t>
  </si>
  <si>
    <t>Consumables Antaco Week 44</t>
  </si>
  <si>
    <t>Pipe Binding Service</t>
  </si>
  <si>
    <t>Mobile and Fuel Charges</t>
  </si>
  <si>
    <t>Consumables Charges KTECG Week 45</t>
  </si>
  <si>
    <t>30% Remaining Payment Belzona</t>
  </si>
  <si>
    <t>October</t>
  </si>
  <si>
    <t>Oil Compressor</t>
  </si>
  <si>
    <t>Consumables BYMA Week 47</t>
  </si>
  <si>
    <t>Ferries Charges BYMA Week 47</t>
  </si>
  <si>
    <t>Sealer BYMA Week 47</t>
  </si>
  <si>
    <t>PPE Week 47</t>
  </si>
  <si>
    <t>Office Consumables Week 47</t>
  </si>
  <si>
    <t>Materials CPP Week 47</t>
  </si>
  <si>
    <t>Materias Maintenance Week 46</t>
  </si>
  <si>
    <t>Materials Maintenance Week 46</t>
  </si>
  <si>
    <t>Payment for Intergard, Interzone and Thinner</t>
  </si>
  <si>
    <t>Ferries Charges Week 45</t>
  </si>
  <si>
    <t>Electricity Bill EDG September 2020</t>
  </si>
  <si>
    <t>Electricity Bill SPK Hostel September 2020</t>
  </si>
  <si>
    <t>Employees Salaries October</t>
  </si>
  <si>
    <t>Delivery Fee from Ygn to VN for Blandine's contract</t>
  </si>
  <si>
    <t>Office Ferry October 2020</t>
  </si>
  <si>
    <t>Mr Hung Car October 2020</t>
  </si>
  <si>
    <t>Mr Hung Food Allowance October 2020</t>
  </si>
  <si>
    <t>Ferries Charges week 46</t>
  </si>
  <si>
    <t>Partial Payment Jotun Myanmar</t>
  </si>
  <si>
    <t>Heineken Mock Up</t>
  </si>
  <si>
    <t>Materials BYMA Week 46</t>
  </si>
  <si>
    <t>Stamp Duty CPP</t>
  </si>
  <si>
    <t>Stamp Duty Hostel &amp; M Hung Apartment</t>
  </si>
  <si>
    <t>Invoice HDPE + Fee 350 USD</t>
  </si>
  <si>
    <t xml:space="preserve">Installment 1 Sun Power </t>
  </si>
  <si>
    <t>Materials BYMA Week 48</t>
  </si>
  <si>
    <t>Materials French School Week 48</t>
  </si>
  <si>
    <t>Communication and Transportation Fees Ye Naing Week 36 - 39</t>
  </si>
  <si>
    <t>Communication and Transportation Fees Ye Naing Week 43 - 44</t>
  </si>
  <si>
    <t>Materials Office Week 10/11</t>
  </si>
  <si>
    <t>Materials Maintenance Compressor Week 48</t>
  </si>
  <si>
    <t>PPE Hla Tint</t>
  </si>
  <si>
    <t>Ferries Charges Week 48</t>
  </si>
  <si>
    <t>Consumables BYMA Week 48</t>
  </si>
  <si>
    <t>Paint BYMA Week 48</t>
  </si>
  <si>
    <t>Myr 219 03 0228</t>
  </si>
  <si>
    <t>Skim Coat BYMA Week 49</t>
  </si>
  <si>
    <t>PPE BYMA Week 49</t>
  </si>
  <si>
    <t>Paint BYMA Week 49</t>
  </si>
  <si>
    <t>Consumables French School Week 49</t>
  </si>
  <si>
    <t>Consulables BYMA Week 49</t>
  </si>
  <si>
    <t>Consumables CPP Week 49</t>
  </si>
  <si>
    <t>Electricity EDG October</t>
  </si>
  <si>
    <t>Ferries Charges Week 49</t>
  </si>
  <si>
    <t>Electricity Workers' Hostel October</t>
  </si>
  <si>
    <t>FRC</t>
  </si>
  <si>
    <t>Employees Salaries November</t>
  </si>
  <si>
    <t>Mr Hung Food Allowace November</t>
  </si>
  <si>
    <t xml:space="preserve">Ananda Top UP </t>
  </si>
  <si>
    <t>Air Compressor Service Maintenance</t>
  </si>
  <si>
    <t>Consumables PUMA - safey steel cable/pin blasing machine</t>
  </si>
  <si>
    <t>Consumables PUMA - Electric Cables / Socket</t>
  </si>
  <si>
    <t>Truck/Crane PUMA</t>
  </si>
  <si>
    <t>Consumables PUMA - canvas, plastic, water</t>
  </si>
  <si>
    <t>Consumables PUMA - glass, gloves, thinner 905, masks</t>
  </si>
  <si>
    <t>Consumables PUMA - paint brush, water pump, degreaser</t>
  </si>
  <si>
    <t>Equipment PUMA - ventilation/fire extinguisher</t>
  </si>
  <si>
    <t>Myr 220 03 0115</t>
  </si>
  <si>
    <t>Maintenance Blasting Equipment</t>
  </si>
  <si>
    <t>Water fee and Fuel for Office Generator</t>
  </si>
  <si>
    <t>Handle Grass Cutting Machine</t>
  </si>
  <si>
    <t>Myr 220 03 0179</t>
  </si>
  <si>
    <t>Consumables BYMA Week 50</t>
  </si>
  <si>
    <t>Equipment PUMA - Vacuum Cleaner, water tank</t>
  </si>
  <si>
    <t>Consumables BYMA Week 49</t>
  </si>
  <si>
    <t>PPE Workers</t>
  </si>
  <si>
    <t>Payment Request: mobile top up, fuel and chequebook</t>
  </si>
  <si>
    <t>Ferries Charges Week50</t>
  </si>
  <si>
    <t>Payment Custom Fees HDPE</t>
  </si>
  <si>
    <t>PPE CPP New Workers</t>
  </si>
  <si>
    <t>Transportation Charges Kyaw Tint</t>
  </si>
  <si>
    <t>Taxi fee DICA Admin</t>
  </si>
  <si>
    <t>Communication San Lwin Aung Week 19 - 26</t>
  </si>
  <si>
    <t>Ferries Charges For Week 51</t>
  </si>
  <si>
    <t>Ferries Charges For Week 52</t>
  </si>
  <si>
    <t>Salary Volunteer Workers + Transportation after Lockdown 1</t>
  </si>
  <si>
    <t>SKP Hostel Rental December</t>
  </si>
  <si>
    <t>Thanlyn Hostel Rental December</t>
  </si>
  <si>
    <t>Consumables BYMA Week 52</t>
  </si>
  <si>
    <t>SSB October</t>
  </si>
  <si>
    <t>Maintenance Blasting Hose</t>
  </si>
  <si>
    <t>SSB September</t>
  </si>
  <si>
    <t>Ferries Week 52</t>
  </si>
  <si>
    <t>Myr 220 02 0115</t>
  </si>
  <si>
    <t>PPE PUMA Project</t>
  </si>
  <si>
    <t>Consumables CPP Week 52</t>
  </si>
  <si>
    <t>Myr 220 03 0144</t>
  </si>
  <si>
    <t>Myr 219 02 0228</t>
  </si>
  <si>
    <t>Consumables LFIR Week 52</t>
  </si>
  <si>
    <t>Consumables Green Vision Week 52</t>
  </si>
  <si>
    <t>Mr Hung Apartment Rental</t>
  </si>
  <si>
    <t>Supplier</t>
  </si>
  <si>
    <t>Amount</t>
  </si>
  <si>
    <t>USD Equivalent</t>
  </si>
  <si>
    <t>Communcation Thet Naing Oo Week 19 - 26</t>
  </si>
  <si>
    <t>Vadinler (Mr Jacques)</t>
  </si>
  <si>
    <t>repaid</t>
  </si>
  <si>
    <t>Communication Lwin Lwin Week 18 - 22</t>
  </si>
  <si>
    <t>Diamond Rental</t>
  </si>
  <si>
    <t>Advance Compressor Rental</t>
  </si>
  <si>
    <t>SSB November</t>
  </si>
  <si>
    <t>Advance Site Expenses</t>
  </si>
  <si>
    <t>Octane for Office Generator</t>
  </si>
  <si>
    <t>Myr 220 03 0145</t>
  </si>
  <si>
    <t>Stamp Duty Pro Paragon Contract</t>
  </si>
  <si>
    <t>Materials POL 3rd installement</t>
  </si>
  <si>
    <t>Materials POL 4th installement</t>
  </si>
  <si>
    <t>Materials POL 5th installement</t>
  </si>
  <si>
    <t>Materials POL 6th installement</t>
  </si>
  <si>
    <t>Materials POL 7th installement</t>
  </si>
  <si>
    <t>Materials POL 8th installement</t>
  </si>
  <si>
    <t>Materials POL 9th installement</t>
  </si>
  <si>
    <t>HTCT</t>
  </si>
  <si>
    <t>More Service Audit</t>
  </si>
  <si>
    <t>Representative for 3 years (2015 - 2018) for clearance pending issue</t>
  </si>
  <si>
    <t>Audit 4 Financial Year: 2018 - 2019 / 2019 - 2019 / 2019 - 2020 / 2020 - 2021</t>
  </si>
  <si>
    <t>Commercial Tax September2019</t>
  </si>
  <si>
    <t>Commercial Tax August 2019</t>
  </si>
  <si>
    <t>Commercial Tax July 2019</t>
  </si>
  <si>
    <t>Commercial Tax June 2019</t>
  </si>
  <si>
    <t>Commercial Tax May 2019</t>
  </si>
  <si>
    <t>Commercial Tax April 2019</t>
  </si>
  <si>
    <t>Commercial Tax March 2019</t>
  </si>
  <si>
    <t>Commercial Tax February 2019</t>
  </si>
  <si>
    <t>Crane Rental CPP (2.5 duties)</t>
  </si>
  <si>
    <t>Payment Request 03/09</t>
  </si>
  <si>
    <t>Payment Request 16/09</t>
  </si>
  <si>
    <t>Payment Request 24/10</t>
  </si>
  <si>
    <t>Payment Request 06/11</t>
  </si>
  <si>
    <t>Payment Request 25/11</t>
  </si>
  <si>
    <t>Payment Request 15/12</t>
  </si>
  <si>
    <t>Apartment Rental December 2020</t>
  </si>
  <si>
    <t>Payment Request 24/12</t>
  </si>
  <si>
    <t>PPE BYMA Week 52</t>
  </si>
  <si>
    <t>in the safe</t>
  </si>
  <si>
    <t>Consumables Green Vision Week 53</t>
  </si>
  <si>
    <t>pending doc</t>
  </si>
  <si>
    <t>Myr 220 03 0228</t>
  </si>
  <si>
    <t>Paint French School</t>
  </si>
  <si>
    <t>Myr 220 03 0180</t>
  </si>
  <si>
    <t>Paint PUMA</t>
  </si>
  <si>
    <t>Second Installment SiTHu Import HDPE</t>
  </si>
  <si>
    <t>Myr 220 03 0171</t>
  </si>
  <si>
    <t>Sikagard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</si>
</sst>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 * #,##0.00_)\ _€_ ;_ * \(#,##0.00\)\ _€_ ;_ * &quot;-&quot;??_)\ _€_ ;_ @_ "/>
  </numFmts>
  <fonts count="3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7">
    <xf numFmtId="0" fontId="0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20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64" fontId="0" fillId="0" borderId="0" xfId="1" applyFont="1"/>
    <xf numFmtId="0" fontId="3" fillId="2" borderId="2" xfId="0" applyFont="1" applyFill="1" applyBorder="1"/>
    <xf numFmtId="0" fontId="0" fillId="0" borderId="0" xfId="0" applyFill="1"/>
    <xf numFmtId="0" fontId="3" fillId="0" borderId="0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164" fontId="3" fillId="0" borderId="2" xfId="1" applyNumberFormat="1" applyFont="1" applyFill="1" applyBorder="1" applyAlignment="1">
      <alignment horizontal="center"/>
    </xf>
    <xf numFmtId="15" fontId="0" fillId="0" borderId="3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15" fontId="0" fillId="0" borderId="4" xfId="0" applyNumberFormat="1" applyFont="1" applyFill="1" applyBorder="1" applyAlignment="1">
      <alignment horizontal="center" vertical="center"/>
    </xf>
    <xf numFmtId="1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3" fillId="0" borderId="2" xfId="0" applyFont="1" applyFill="1" applyBorder="1"/>
    <xf numFmtId="43" fontId="0" fillId="0" borderId="1" xfId="0" applyNumberFormat="1" applyFont="1" applyFill="1" applyBorder="1" applyAlignment="1">
      <alignment horizontal="center" vertical="center"/>
    </xf>
    <xf numFmtId="43" fontId="0" fillId="0" borderId="1" xfId="1" applyNumberFormat="1" applyFont="1" applyFill="1" applyBorder="1"/>
    <xf numFmtId="43" fontId="0" fillId="0" borderId="0" xfId="0" applyNumberFormat="1"/>
    <xf numFmtId="43" fontId="0" fillId="0" borderId="0" xfId="0" applyNumberFormat="1" applyFont="1" applyFill="1" applyAlignment="1">
      <alignment horizontal="center" vertical="center"/>
    </xf>
    <xf numFmtId="43" fontId="2" fillId="0" borderId="0" xfId="0" applyNumberFormat="1" applyFont="1" applyAlignment="1">
      <alignment horizontal="center"/>
    </xf>
    <xf numFmtId="15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/>
    <xf numFmtId="43" fontId="8" fillId="0" borderId="0" xfId="0" applyNumberFormat="1" applyFont="1" applyFill="1" applyAlignment="1">
      <alignment horizontal="center" vertical="center"/>
    </xf>
    <xf numFmtId="43" fontId="9" fillId="0" borderId="0" xfId="0" applyNumberFormat="1" applyFont="1" applyFill="1" applyAlignment="1">
      <alignment horizontal="center" vertical="center"/>
    </xf>
    <xf numFmtId="43" fontId="11" fillId="0" borderId="0" xfId="0" applyNumberFormat="1" applyFont="1" applyFill="1" applyAlignment="1">
      <alignment horizontal="center" vertical="center"/>
    </xf>
    <xf numFmtId="43" fontId="12" fillId="0" borderId="0" xfId="0" applyNumberFormat="1" applyFont="1" applyFill="1" applyAlignment="1">
      <alignment horizontal="center" vertical="center"/>
    </xf>
    <xf numFmtId="43" fontId="13" fillId="0" borderId="0" xfId="0" applyNumberFormat="1" applyFont="1" applyFill="1" applyAlignment="1">
      <alignment horizontal="center" vertical="center"/>
    </xf>
    <xf numFmtId="15" fontId="14" fillId="0" borderId="5" xfId="0" applyNumberFormat="1" applyFont="1" applyFill="1" applyBorder="1" applyAlignment="1">
      <alignment horizontal="center" vertical="center"/>
    </xf>
    <xf numFmtId="15" fontId="14" fillId="0" borderId="3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43" fontId="14" fillId="0" borderId="1" xfId="0" applyNumberFormat="1" applyFont="1" applyFill="1" applyBorder="1" applyAlignment="1">
      <alignment horizontal="center" vertical="center"/>
    </xf>
    <xf numFmtId="43" fontId="14" fillId="0" borderId="1" xfId="1" applyNumberFormat="1" applyFont="1" applyFill="1" applyBorder="1"/>
    <xf numFmtId="15" fontId="14" fillId="0" borderId="4" xfId="0" applyNumberFormat="1" applyFont="1" applyFill="1" applyBorder="1" applyAlignment="1">
      <alignment horizontal="center" vertical="center"/>
    </xf>
    <xf numFmtId="43" fontId="14" fillId="0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/>
    </xf>
    <xf numFmtId="0" fontId="2" fillId="0" borderId="8" xfId="0" applyFont="1" applyBorder="1"/>
    <xf numFmtId="164" fontId="0" fillId="0" borderId="0" xfId="1" applyFont="1" applyBorder="1"/>
    <xf numFmtId="0" fontId="0" fillId="0" borderId="0" xfId="0" applyBorder="1" applyAlignment="1">
      <alignment horizontal="center"/>
    </xf>
    <xf numFmtId="0" fontId="2" fillId="0" borderId="10" xfId="0" applyFont="1" applyBorder="1"/>
    <xf numFmtId="164" fontId="0" fillId="0" borderId="15" xfId="1" applyFont="1" applyBorder="1"/>
    <xf numFmtId="0" fontId="0" fillId="0" borderId="15" xfId="0" applyBorder="1" applyAlignment="1">
      <alignment horizontal="center"/>
    </xf>
    <xf numFmtId="164" fontId="0" fillId="0" borderId="8" xfId="1" applyFont="1" applyBorder="1"/>
    <xf numFmtId="164" fontId="0" fillId="0" borderId="10" xfId="1" applyFont="1" applyBorder="1"/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5" fontId="15" fillId="0" borderId="0" xfId="0" applyNumberFormat="1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43" fontId="15" fillId="0" borderId="0" xfId="0" applyNumberFormat="1" applyFont="1" applyFill="1" applyAlignment="1">
      <alignment horizontal="center" vertical="center"/>
    </xf>
    <xf numFmtId="15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15" fontId="0" fillId="0" borderId="5" xfId="0" applyNumberFormat="1" applyFont="1" applyFill="1" applyBorder="1" applyAlignment="1">
      <alignment horizontal="center" vertical="center"/>
    </xf>
    <xf numFmtId="43" fontId="17" fillId="0" borderId="0" xfId="0" applyNumberFormat="1" applyFont="1" applyFill="1" applyAlignment="1">
      <alignment horizontal="center" vertical="center"/>
    </xf>
    <xf numFmtId="15" fontId="17" fillId="0" borderId="5" xfId="0" applyNumberFormat="1" applyFont="1" applyFill="1" applyBorder="1" applyAlignment="1">
      <alignment horizontal="center" vertical="center"/>
    </xf>
    <xf numFmtId="15" fontId="17" fillId="0" borderId="3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43" fontId="17" fillId="0" borderId="1" xfId="0" applyNumberFormat="1" applyFont="1" applyFill="1" applyBorder="1" applyAlignment="1">
      <alignment horizontal="center" vertical="center"/>
    </xf>
    <xf numFmtId="43" fontId="17" fillId="0" borderId="1" xfId="1" applyNumberFormat="1" applyFont="1" applyFill="1" applyBorder="1"/>
    <xf numFmtId="15" fontId="17" fillId="0" borderId="4" xfId="0" applyNumberFormat="1" applyFont="1" applyFill="1" applyBorder="1" applyAlignment="1">
      <alignment horizontal="center" vertical="center"/>
    </xf>
    <xf numFmtId="15" fontId="18" fillId="0" borderId="3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3" fontId="18" fillId="0" borderId="1" xfId="0" applyNumberFormat="1" applyFont="1" applyFill="1" applyBorder="1" applyAlignment="1">
      <alignment horizontal="center" vertical="center"/>
    </xf>
    <xf numFmtId="43" fontId="18" fillId="0" borderId="1" xfId="1" applyNumberFormat="1" applyFont="1" applyFill="1" applyBorder="1"/>
    <xf numFmtId="15" fontId="18" fillId="0" borderId="4" xfId="0" applyNumberFormat="1" applyFont="1" applyFill="1" applyBorder="1" applyAlignment="1">
      <alignment horizontal="center" vertical="center"/>
    </xf>
    <xf numFmtId="0" fontId="2" fillId="0" borderId="12" xfId="0" applyFont="1" applyFill="1" applyBorder="1"/>
    <xf numFmtId="164" fontId="0" fillId="0" borderId="12" xfId="1" applyFont="1" applyFill="1" applyBorder="1"/>
    <xf numFmtId="0" fontId="0" fillId="0" borderId="16" xfId="0" applyBorder="1"/>
    <xf numFmtId="164" fontId="0" fillId="0" borderId="13" xfId="1" applyFont="1" applyBorder="1"/>
    <xf numFmtId="164" fontId="0" fillId="0" borderId="9" xfId="1" applyFont="1" applyBorder="1"/>
    <xf numFmtId="164" fontId="0" fillId="0" borderId="11" xfId="1" applyFont="1" applyBorder="1"/>
    <xf numFmtId="43" fontId="0" fillId="3" borderId="0" xfId="0" applyNumberFormat="1" applyFont="1" applyFill="1" applyAlignment="1">
      <alignment horizontal="center" vertical="center"/>
    </xf>
    <xf numFmtId="43" fontId="0" fillId="4" borderId="0" xfId="0" applyNumberFormat="1" applyFont="1" applyFill="1" applyAlignment="1">
      <alignment horizontal="center" vertical="center"/>
    </xf>
    <xf numFmtId="43" fontId="0" fillId="5" borderId="0" xfId="0" applyNumberFormat="1" applyFont="1" applyFill="1" applyAlignment="1">
      <alignment horizontal="center" vertical="center"/>
    </xf>
    <xf numFmtId="43" fontId="19" fillId="0" borderId="0" xfId="0" applyNumberFormat="1" applyFont="1" applyFill="1" applyAlignment="1">
      <alignment horizontal="center" vertical="center"/>
    </xf>
    <xf numFmtId="10" fontId="0" fillId="0" borderId="0" xfId="56" applyNumberFormat="1" applyFont="1"/>
    <xf numFmtId="15" fontId="20" fillId="0" borderId="5" xfId="0" applyNumberFormat="1" applyFont="1" applyFill="1" applyBorder="1" applyAlignment="1">
      <alignment horizontal="center" vertical="center"/>
    </xf>
    <xf numFmtId="15" fontId="20" fillId="0" borderId="3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43" fontId="20" fillId="0" borderId="1" xfId="0" applyNumberFormat="1" applyFont="1" applyFill="1" applyBorder="1" applyAlignment="1">
      <alignment horizontal="center" vertical="center"/>
    </xf>
    <xf numFmtId="43" fontId="20" fillId="0" borderId="1" xfId="1" applyNumberFormat="1" applyFont="1" applyFill="1" applyBorder="1"/>
    <xf numFmtId="15" fontId="20" fillId="0" borderId="4" xfId="0" applyNumberFormat="1" applyFont="1" applyFill="1" applyBorder="1" applyAlignment="1">
      <alignment horizontal="center" vertical="center"/>
    </xf>
    <xf numFmtId="43" fontId="20" fillId="0" borderId="0" xfId="0" applyNumberFormat="1" applyFont="1" applyFill="1" applyAlignment="1">
      <alignment horizontal="center" vertical="center"/>
    </xf>
    <xf numFmtId="43" fontId="0" fillId="6" borderId="0" xfId="0" applyNumberFormat="1" applyFont="1" applyFill="1" applyAlignment="1">
      <alignment horizontal="center" vertical="center"/>
    </xf>
    <xf numFmtId="15" fontId="21" fillId="0" borderId="5" xfId="0" applyNumberFormat="1" applyFont="1" applyFill="1" applyBorder="1" applyAlignment="1">
      <alignment horizontal="center" vertical="center"/>
    </xf>
    <xf numFmtId="15" fontId="21" fillId="0" borderId="3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43" fontId="21" fillId="0" borderId="1" xfId="0" applyNumberFormat="1" applyFont="1" applyFill="1" applyBorder="1" applyAlignment="1">
      <alignment horizontal="center" vertical="center"/>
    </xf>
    <xf numFmtId="43" fontId="21" fillId="0" borderId="1" xfId="1" applyNumberFormat="1" applyFont="1" applyFill="1" applyBorder="1"/>
    <xf numFmtId="15" fontId="21" fillId="0" borderId="4" xfId="0" applyNumberFormat="1" applyFont="1" applyFill="1" applyBorder="1" applyAlignment="1">
      <alignment horizontal="center" vertical="center"/>
    </xf>
    <xf numFmtId="43" fontId="21" fillId="0" borderId="0" xfId="0" applyNumberFormat="1" applyFont="1" applyFill="1" applyAlignment="1">
      <alignment horizontal="center" vertical="center"/>
    </xf>
    <xf numFmtId="15" fontId="22" fillId="0" borderId="5" xfId="0" applyNumberFormat="1" applyFont="1" applyFill="1" applyBorder="1" applyAlignment="1">
      <alignment horizontal="center" vertical="center"/>
    </xf>
    <xf numFmtId="15" fontId="22" fillId="0" borderId="3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43" fontId="22" fillId="0" borderId="1" xfId="0" applyNumberFormat="1" applyFont="1" applyFill="1" applyBorder="1" applyAlignment="1">
      <alignment horizontal="center" vertical="center"/>
    </xf>
    <xf numFmtId="43" fontId="22" fillId="0" borderId="1" xfId="1" applyNumberFormat="1" applyFont="1" applyFill="1" applyBorder="1"/>
    <xf numFmtId="15" fontId="22" fillId="0" borderId="4" xfId="0" applyNumberFormat="1" applyFont="1" applyFill="1" applyBorder="1" applyAlignment="1">
      <alignment horizontal="center" vertical="center"/>
    </xf>
    <xf numFmtId="43" fontId="23" fillId="0" borderId="0" xfId="0" applyNumberFormat="1" applyFont="1" applyFill="1" applyAlignment="1">
      <alignment horizontal="center" vertical="center"/>
    </xf>
    <xf numFmtId="15" fontId="23" fillId="0" borderId="5" xfId="0" applyNumberFormat="1" applyFont="1" applyFill="1" applyBorder="1" applyAlignment="1">
      <alignment horizontal="center" vertical="center"/>
    </xf>
    <xf numFmtId="15" fontId="23" fillId="0" borderId="3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/>
    </xf>
    <xf numFmtId="43" fontId="23" fillId="0" borderId="1" xfId="0" applyNumberFormat="1" applyFont="1" applyFill="1" applyBorder="1" applyAlignment="1">
      <alignment horizontal="center" vertical="center"/>
    </xf>
    <xf numFmtId="43" fontId="23" fillId="0" borderId="1" xfId="1" applyNumberFormat="1" applyFont="1" applyFill="1" applyBorder="1"/>
    <xf numFmtId="15" fontId="23" fillId="0" borderId="4" xfId="0" applyNumberFormat="1" applyFont="1" applyFill="1" applyBorder="1" applyAlignment="1">
      <alignment horizontal="center" vertical="center"/>
    </xf>
    <xf numFmtId="15" fontId="24" fillId="0" borderId="5" xfId="0" applyNumberFormat="1" applyFont="1" applyFill="1" applyBorder="1" applyAlignment="1">
      <alignment horizontal="center" vertical="center"/>
    </xf>
    <xf numFmtId="15" fontId="24" fillId="0" borderId="3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/>
    </xf>
    <xf numFmtId="43" fontId="24" fillId="0" borderId="1" xfId="0" applyNumberFormat="1" applyFont="1" applyFill="1" applyBorder="1" applyAlignment="1">
      <alignment horizontal="center" vertical="center"/>
    </xf>
    <xf numFmtId="43" fontId="24" fillId="0" borderId="1" xfId="1" applyNumberFormat="1" applyFont="1" applyFill="1" applyBorder="1"/>
    <xf numFmtId="15" fontId="24" fillId="0" borderId="4" xfId="0" applyNumberFormat="1" applyFont="1" applyFill="1" applyBorder="1" applyAlignment="1">
      <alignment horizontal="center" vertical="center"/>
    </xf>
    <xf numFmtId="43" fontId="24" fillId="0" borderId="0" xfId="0" applyNumberFormat="1" applyFont="1" applyFill="1" applyAlignment="1">
      <alignment horizontal="center" vertical="center"/>
    </xf>
    <xf numFmtId="43" fontId="0" fillId="3" borderId="1" xfId="0" applyNumberFormat="1" applyFont="1" applyFill="1" applyBorder="1" applyAlignment="1">
      <alignment horizontal="center" vertical="center"/>
    </xf>
    <xf numFmtId="43" fontId="0" fillId="4" borderId="1" xfId="0" applyNumberFormat="1" applyFont="1" applyFill="1" applyBorder="1" applyAlignment="1">
      <alignment horizontal="center" vertical="center"/>
    </xf>
    <xf numFmtId="43" fontId="24" fillId="3" borderId="1" xfId="0" applyNumberFormat="1" applyFont="1" applyFill="1" applyBorder="1" applyAlignment="1">
      <alignment horizontal="center" vertical="center"/>
    </xf>
    <xf numFmtId="43" fontId="24" fillId="4" borderId="1" xfId="0" applyNumberFormat="1" applyFont="1" applyFill="1" applyBorder="1" applyAlignment="1">
      <alignment horizontal="center" vertical="center"/>
    </xf>
    <xf numFmtId="0" fontId="0" fillId="0" borderId="14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43" fontId="0" fillId="0" borderId="8" xfId="0" applyNumberFormat="1" applyBorder="1"/>
    <xf numFmtId="43" fontId="0" fillId="4" borderId="8" xfId="0" applyNumberFormat="1" applyFill="1" applyBorder="1"/>
    <xf numFmtId="43" fontId="0" fillId="3" borderId="10" xfId="0" applyNumberFormat="1" applyFill="1" applyBorder="1"/>
    <xf numFmtId="0" fontId="0" fillId="0" borderId="15" xfId="0" applyBorder="1"/>
    <xf numFmtId="0" fontId="0" fillId="0" borderId="11" xfId="0" applyBorder="1"/>
    <xf numFmtId="0" fontId="2" fillId="0" borderId="6" xfId="0" applyFont="1" applyBorder="1"/>
    <xf numFmtId="43" fontId="24" fillId="5" borderId="1" xfId="0" applyNumberFormat="1" applyFont="1" applyFill="1" applyBorder="1" applyAlignment="1">
      <alignment horizontal="center" vertical="center"/>
    </xf>
    <xf numFmtId="43" fontId="24" fillId="6" borderId="1" xfId="0" applyNumberFormat="1" applyFont="1" applyFill="1" applyBorder="1" applyAlignment="1">
      <alignment horizontal="center" vertical="center"/>
    </xf>
    <xf numFmtId="43" fontId="24" fillId="5" borderId="0" xfId="0" applyNumberFormat="1" applyFont="1" applyFill="1" applyAlignment="1">
      <alignment horizontal="center" vertical="center"/>
    </xf>
    <xf numFmtId="43" fontId="24" fillId="6" borderId="0" xfId="0" applyNumberFormat="1" applyFont="1" applyFill="1" applyAlignment="1">
      <alignment horizontal="center" vertical="center"/>
    </xf>
    <xf numFmtId="43" fontId="0" fillId="6" borderId="1" xfId="0" applyNumberFormat="1" applyFont="1" applyFill="1" applyBorder="1" applyAlignment="1">
      <alignment horizontal="center" vertical="center"/>
    </xf>
    <xf numFmtId="9" fontId="0" fillId="0" borderId="0" xfId="56" applyFont="1"/>
    <xf numFmtId="43" fontId="0" fillId="5" borderId="8" xfId="0" applyNumberFormat="1" applyFill="1" applyBorder="1"/>
    <xf numFmtId="164" fontId="0" fillId="6" borderId="10" xfId="0" applyNumberFormat="1" applyFill="1" applyBorder="1"/>
    <xf numFmtId="0" fontId="0" fillId="5" borderId="8" xfId="0" applyFill="1" applyBorder="1"/>
    <xf numFmtId="0" fontId="0" fillId="6" borderId="8" xfId="0" applyFill="1" applyBorder="1"/>
    <xf numFmtId="0" fontId="0" fillId="3" borderId="8" xfId="0" applyFill="1" applyBorder="1"/>
    <xf numFmtId="0" fontId="0" fillId="4" borderId="8" xfId="0" applyFill="1" applyBorder="1"/>
    <xf numFmtId="164" fontId="15" fillId="0" borderId="0" xfId="1" applyFont="1"/>
    <xf numFmtId="43" fontId="0" fillId="5" borderId="1" xfId="0" applyNumberFormat="1" applyFont="1" applyFill="1" applyBorder="1" applyAlignment="1">
      <alignment horizontal="center" vertical="center"/>
    </xf>
    <xf numFmtId="15" fontId="25" fillId="0" borderId="5" xfId="0" applyNumberFormat="1" applyFont="1" applyFill="1" applyBorder="1" applyAlignment="1">
      <alignment horizontal="center" vertical="center"/>
    </xf>
    <xf numFmtId="15" fontId="25" fillId="0" borderId="3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/>
    </xf>
    <xf numFmtId="43" fontId="25" fillId="0" borderId="1" xfId="0" applyNumberFormat="1" applyFont="1" applyFill="1" applyBorder="1" applyAlignment="1">
      <alignment horizontal="center" vertical="center"/>
    </xf>
    <xf numFmtId="43" fontId="25" fillId="0" borderId="1" xfId="1" applyNumberFormat="1" applyFont="1" applyFill="1" applyBorder="1"/>
    <xf numFmtId="15" fontId="25" fillId="0" borderId="4" xfId="0" applyNumberFormat="1" applyFont="1" applyFill="1" applyBorder="1" applyAlignment="1">
      <alignment horizontal="center" vertical="center"/>
    </xf>
    <xf numFmtId="43" fontId="25" fillId="0" borderId="0" xfId="0" applyNumberFormat="1" applyFont="1" applyFill="1" applyAlignment="1">
      <alignment horizontal="center" vertical="center"/>
    </xf>
    <xf numFmtId="43" fontId="25" fillId="3" borderId="0" xfId="0" applyNumberFormat="1" applyFont="1" applyFill="1" applyAlignment="1">
      <alignment horizontal="center" vertical="center"/>
    </xf>
    <xf numFmtId="15" fontId="26" fillId="0" borderId="5" xfId="0" applyNumberFormat="1" applyFont="1" applyFill="1" applyBorder="1" applyAlignment="1">
      <alignment horizontal="center" vertical="center"/>
    </xf>
    <xf numFmtId="15" fontId="26" fillId="0" borderId="3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/>
    </xf>
    <xf numFmtId="43" fontId="26" fillId="0" borderId="1" xfId="0" applyNumberFormat="1" applyFont="1" applyFill="1" applyBorder="1" applyAlignment="1">
      <alignment horizontal="center" vertical="center"/>
    </xf>
    <xf numFmtId="43" fontId="26" fillId="0" borderId="1" xfId="1" applyNumberFormat="1" applyFont="1" applyFill="1" applyBorder="1"/>
    <xf numFmtId="15" fontId="26" fillId="0" borderId="4" xfId="0" applyNumberFormat="1" applyFont="1" applyFill="1" applyBorder="1" applyAlignment="1">
      <alignment horizontal="center" vertical="center"/>
    </xf>
    <xf numFmtId="43" fontId="25" fillId="3" borderId="1" xfId="0" applyNumberFormat="1" applyFont="1" applyFill="1" applyBorder="1" applyAlignment="1">
      <alignment horizontal="center" vertical="center"/>
    </xf>
    <xf numFmtId="43" fontId="14" fillId="4" borderId="0" xfId="0" applyNumberFormat="1" applyFont="1" applyFill="1" applyAlignment="1">
      <alignment horizontal="center" vertical="center"/>
    </xf>
    <xf numFmtId="43" fontId="10" fillId="4" borderId="0" xfId="0" applyNumberFormat="1" applyFont="1" applyFill="1" applyAlignment="1">
      <alignment horizontal="center" vertical="center"/>
    </xf>
    <xf numFmtId="43" fontId="23" fillId="3" borderId="0" xfId="0" applyNumberFormat="1" applyFont="1" applyFill="1" applyAlignment="1">
      <alignment horizontal="center" vertical="center"/>
    </xf>
    <xf numFmtId="43" fontId="26" fillId="3" borderId="1" xfId="0" applyNumberFormat="1" applyFont="1" applyFill="1" applyBorder="1" applyAlignment="1">
      <alignment horizontal="center" vertical="center"/>
    </xf>
    <xf numFmtId="43" fontId="26" fillId="4" borderId="1" xfId="0" applyNumberFormat="1" applyFont="1" applyFill="1" applyBorder="1" applyAlignment="1">
      <alignment horizontal="center" vertical="center"/>
    </xf>
    <xf numFmtId="43" fontId="26" fillId="3" borderId="0" xfId="0" applyNumberFormat="1" applyFont="1" applyFill="1" applyAlignment="1">
      <alignment horizontal="center" vertical="center"/>
    </xf>
    <xf numFmtId="43" fontId="26" fillId="4" borderId="0" xfId="0" applyNumberFormat="1" applyFont="1" applyFill="1" applyAlignment="1">
      <alignment horizontal="center" vertical="center"/>
    </xf>
    <xf numFmtId="15" fontId="27" fillId="0" borderId="5" xfId="0" applyNumberFormat="1" applyFont="1" applyFill="1" applyBorder="1" applyAlignment="1">
      <alignment horizontal="center" vertical="center"/>
    </xf>
    <xf numFmtId="15" fontId="27" fillId="0" borderId="3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left" vertical="center"/>
    </xf>
    <xf numFmtId="43" fontId="27" fillId="0" borderId="1" xfId="0" applyNumberFormat="1" applyFont="1" applyFill="1" applyBorder="1" applyAlignment="1">
      <alignment horizontal="center" vertical="center"/>
    </xf>
    <xf numFmtId="43" fontId="27" fillId="0" borderId="1" xfId="1" applyNumberFormat="1" applyFont="1" applyFill="1" applyBorder="1"/>
    <xf numFmtId="15" fontId="27" fillId="0" borderId="4" xfId="0" applyNumberFormat="1" applyFont="1" applyFill="1" applyBorder="1" applyAlignment="1">
      <alignment horizontal="center" vertical="center"/>
    </xf>
    <xf numFmtId="0" fontId="2" fillId="7" borderId="8" xfId="0" applyFont="1" applyFill="1" applyBorder="1"/>
    <xf numFmtId="0" fontId="0" fillId="7" borderId="0" xfId="0" applyFill="1"/>
    <xf numFmtId="15" fontId="28" fillId="0" borderId="3" xfId="0" applyNumberFormat="1" applyFont="1" applyFill="1" applyBorder="1" applyAlignment="1">
      <alignment horizontal="center" vertical="center"/>
    </xf>
    <xf numFmtId="0" fontId="28" fillId="0" borderId="3" xfId="0" applyFont="1" applyFill="1" applyBorder="1"/>
    <xf numFmtId="15" fontId="28" fillId="0" borderId="5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left" vertical="center"/>
    </xf>
    <xf numFmtId="43" fontId="28" fillId="0" borderId="1" xfId="0" applyNumberFormat="1" applyFont="1" applyFill="1" applyBorder="1" applyAlignment="1">
      <alignment horizontal="center" vertical="center"/>
    </xf>
    <xf numFmtId="43" fontId="28" fillId="0" borderId="1" xfId="1" applyNumberFormat="1" applyFont="1" applyFill="1" applyBorder="1"/>
    <xf numFmtId="15" fontId="28" fillId="0" borderId="4" xfId="0" applyNumberFormat="1" applyFont="1" applyFill="1" applyBorder="1" applyAlignment="1">
      <alignment horizontal="center" vertical="center"/>
    </xf>
    <xf numFmtId="43" fontId="28" fillId="0" borderId="0" xfId="0" applyNumberFormat="1" applyFont="1" applyFill="1" applyAlignment="1">
      <alignment horizontal="center" vertical="center"/>
    </xf>
    <xf numFmtId="43" fontId="28" fillId="4" borderId="0" xfId="0" applyNumberFormat="1" applyFont="1" applyFill="1" applyAlignment="1">
      <alignment horizontal="center" vertical="center"/>
    </xf>
    <xf numFmtId="15" fontId="29" fillId="0" borderId="5" xfId="0" applyNumberFormat="1" applyFont="1" applyFill="1" applyBorder="1" applyAlignment="1">
      <alignment horizontal="center" vertical="center"/>
    </xf>
    <xf numFmtId="15" fontId="29" fillId="0" borderId="3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left" vertical="center"/>
    </xf>
    <xf numFmtId="43" fontId="29" fillId="0" borderId="1" xfId="0" applyNumberFormat="1" applyFont="1" applyFill="1" applyBorder="1" applyAlignment="1">
      <alignment horizontal="center" vertical="center"/>
    </xf>
    <xf numFmtId="43" fontId="29" fillId="0" borderId="1" xfId="1" applyNumberFormat="1" applyFont="1" applyFill="1" applyBorder="1"/>
    <xf numFmtId="15" fontId="29" fillId="0" borderId="4" xfId="0" applyNumberFormat="1" applyFont="1" applyFill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</cellXfs>
  <cellStyles count="57">
    <cellStyle name="Comma" xfId="1" builtinId="3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Normal" xfId="0" builtinId="0"/>
    <cellStyle name="Percent" xfId="56" builtinId="5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theme="4" tint="0.79998168889431442"/>
          <bgColor auto="1"/>
        </patternFill>
      </fill>
      <border diagonalUp="0" diagonalDown="0" outline="0">
        <left/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0" formatCode="dd\-mmm\-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 style="thin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solid">
          <fgColor theme="4"/>
          <bgColor theme="4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35" formatCode="_-* #,##0.00_-;\-* #,##0.00_-;_-* &quot;-&quot;??_-;_-@_-"/>
      <fill>
        <patternFill patternType="none">
          <fgColor theme="4" tint="0.59999389629810485"/>
          <bgColor auto="1"/>
        </patternFill>
      </fill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35" formatCode="_-* #,##0.00_-;\-* #,##0.00_-;_-* &quot;-&quot;??_-;_-@_-"/>
      <fill>
        <patternFill patternType="none">
          <fgColor theme="4" tint="0.59999389629810485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35" formatCode="_-* #,##0.00_-;\-* #,##0.00_-;_-* &quot;-&quot;??_-;_-@_-"/>
      <fill>
        <patternFill patternType="none">
          <fgColor theme="4" tint="0.59999389629810485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theme="4" tint="0.59999389629810485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theme="4" tint="0.59999389629810485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theme="4" tint="0.59999389629810485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0" formatCode="dd\-mmm\-yy"/>
      <fill>
        <patternFill patternType="none">
          <fgColor theme="4" tint="0.59999389629810485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0" formatCode="dd\-mmm\-yy"/>
      <fill>
        <patternFill patternType="none">
          <fgColor theme="4" tint="0.59999389629810485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 style="thin">
          <color theme="0"/>
        </bottom>
      </border>
    </dxf>
    <dxf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none">
          <fgColor theme="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35" formatCode="_-* #,##0.00_-;\-* #,##0.00_-;_-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35" formatCode="_-* #,##0.00_-;\-* #,##0.00_-;_-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numFmt numFmtId="20" formatCode="dd\-mmm\-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9" defaultPivotStyle="PivotStyleMedium7"/>
  <colors>
    <mruColors>
      <color rgb="FFC7EEF0"/>
      <color rgb="FFF9DFE1"/>
      <color rgb="FFDBAE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est" displayName="Test" ref="B3:H117" totalsRowShown="0" headerRowDxfId="21" dataDxfId="20">
  <autoFilter ref="B3:H117" xr:uid="{00000000-0009-0000-0100-000001000000}"/>
  <sortState ref="B65:H70">
    <sortCondition ref="B4:B73"/>
  </sortState>
  <tableColumns count="7">
    <tableColumn id="1" xr3:uid="{00000000-0010-0000-0000-000001000000}" name="Date" dataDxfId="19"/>
    <tableColumn id="3" xr3:uid="{00000000-0010-0000-0000-000003000000}" name="Supplier" dataDxfId="18"/>
    <tableColumn id="11" xr3:uid="{00000000-0010-0000-0000-00000B000000}" name="Project Number" dataDxfId="17"/>
    <tableColumn id="4" xr3:uid="{00000000-0010-0000-0000-000004000000}" name="Description" dataDxfId="16"/>
    <tableColumn id="5" xr3:uid="{00000000-0010-0000-0000-000005000000}" name="Amount" dataDxfId="15"/>
    <tableColumn id="12" xr3:uid="{00000000-0010-0000-0000-00000C000000}" name="Currency" dataDxfId="14"/>
    <tableColumn id="13" xr3:uid="{00000000-0010-0000-0000-00000D000000}" name="USD Equivalent" dataDxfId="13">
      <calculatedColumnFormula>IF(Test[[#This Row],[Currency]]="USD",-Test[[#This Row],[Amount]],-Test[[#This Row],[Amount]]/Currency)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Paid" displayName="Paid" ref="B2:I1163" totalsRowShown="0" headerRowDxfId="12" dataDxfId="11">
  <autoFilter ref="B2:I1163" xr:uid="{00000000-0009-0000-0100-000003000000}"/>
  <sortState ref="B15:I828">
    <sortCondition descending="1" ref="D2:D951"/>
  </sortState>
  <tableColumns count="8">
    <tableColumn id="1" xr3:uid="{00000000-0010-0000-0100-000001000000}" name="Date Paid" dataDxfId="10"/>
    <tableColumn id="2" xr3:uid="{00000000-0010-0000-0100-000002000000}" name="Date Due" dataDxfId="9"/>
    <tableColumn id="4" xr3:uid="{00000000-0010-0000-0100-000004000000}" name="Client/Supplier" dataDxfId="8"/>
    <tableColumn id="5" xr3:uid="{00000000-0010-0000-0100-000005000000}" name="Project Number" dataDxfId="7"/>
    <tableColumn id="6" xr3:uid="{00000000-0010-0000-0100-000006000000}" name="Description" dataDxfId="6"/>
    <tableColumn id="7" xr3:uid="{00000000-0010-0000-0100-000007000000}" name="Montant" dataDxfId="5"/>
    <tableColumn id="8" xr3:uid="{00000000-0010-0000-0100-000008000000}" name="Currency" dataDxfId="4"/>
    <tableColumn id="9" xr3:uid="{00000000-0010-0000-0100-000009000000}" name="In Dollar" dataDxfId="3">
      <calculatedColumnFormula>IF(Paid[[#This Row],[Currency]]="USD",Paid[[#This Row],[Montant]],Paid[[#This Row],[Montant]]/VLOOKUP(Paid[[#This Row],[Date Paid]],TableCurrencyRate[#All],2,FALSE))</calculatedColumnFormula>
    </tableColumn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leCurrencyRate" displayName="TableCurrencyRate" ref="B2:C5" totalsRowShown="0" headerRowDxfId="2">
  <autoFilter ref="B2:C5" xr:uid="{00000000-0009-0000-0100-000005000000}"/>
  <sortState ref="B2:C3">
    <sortCondition ref="B2"/>
  </sortState>
  <tableColumns count="2">
    <tableColumn id="1" xr3:uid="{00000000-0010-0000-0200-000001000000}" name="Date " dataDxfId="1"/>
    <tableColumn id="2" xr3:uid="{00000000-0010-0000-0200-000002000000}" name="OfficialRate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N117"/>
  <sheetViews>
    <sheetView tabSelected="1" topLeftCell="A87" zoomScale="93" zoomScaleNormal="90" zoomScalePageLayoutView="90" workbookViewId="0">
      <selection activeCell="J114" sqref="J114"/>
    </sheetView>
  </sheetViews>
  <sheetFormatPr baseColWidth="10" defaultRowHeight="16" x14ac:dyDescent="0.2"/>
  <cols>
    <col min="1" max="1" width="4.6640625" customWidth="1"/>
    <col min="2" max="2" width="20" customWidth="1"/>
    <col min="3" max="3" width="21.1640625" customWidth="1"/>
    <col min="4" max="4" width="18.83203125" customWidth="1"/>
    <col min="5" max="5" width="58.5" customWidth="1"/>
    <col min="6" max="6" width="17.1640625" style="20" customWidth="1"/>
    <col min="7" max="7" width="13.1640625" bestFit="1" customWidth="1"/>
    <col min="8" max="8" width="17.5" style="20" customWidth="1"/>
    <col min="9" max="9" width="5.83203125" style="3" customWidth="1"/>
    <col min="10" max="10" width="16.83203125" style="3" customWidth="1"/>
    <col min="11" max="11" width="18" customWidth="1"/>
    <col min="12" max="12" width="17.1640625" customWidth="1"/>
    <col min="13" max="13" width="19.6640625" customWidth="1"/>
    <col min="14" max="14" width="17" customWidth="1"/>
    <col min="15" max="15" width="19.5" customWidth="1"/>
    <col min="18" max="18" width="15.83203125" bestFit="1" customWidth="1"/>
  </cols>
  <sheetData>
    <row r="1" spans="2:14" x14ac:dyDescent="0.2">
      <c r="B1" s="1" t="s">
        <v>0</v>
      </c>
      <c r="E1" t="s">
        <v>10</v>
      </c>
      <c r="F1" s="20">
        <v>1500</v>
      </c>
    </row>
    <row r="3" spans="2:14" x14ac:dyDescent="0.2">
      <c r="B3" s="2" t="s">
        <v>1</v>
      </c>
      <c r="C3" s="2" t="s">
        <v>1191</v>
      </c>
      <c r="D3" s="2" t="s">
        <v>7</v>
      </c>
      <c r="E3" s="2" t="s">
        <v>3</v>
      </c>
      <c r="F3" s="22" t="s">
        <v>1192</v>
      </c>
      <c r="G3" s="2" t="s">
        <v>8</v>
      </c>
      <c r="H3" s="22" t="s">
        <v>1193</v>
      </c>
    </row>
    <row r="4" spans="2:14" x14ac:dyDescent="0.2">
      <c r="B4" s="13">
        <v>43322</v>
      </c>
      <c r="C4" s="14" t="s">
        <v>46</v>
      </c>
      <c r="D4" s="14"/>
      <c r="E4" s="15" t="s">
        <v>300</v>
      </c>
      <c r="F4" s="25">
        <v>1255500</v>
      </c>
      <c r="G4" s="16" t="s">
        <v>5</v>
      </c>
      <c r="H4" s="25">
        <f>IF(Test[[#This Row],[Currency]]="USD",-Test[[#This Row],[Amount]],-Test[[#This Row],[Amount]]/Currency)</f>
        <v>-837</v>
      </c>
    </row>
    <row r="5" spans="2:14" ht="17" customHeight="1" x14ac:dyDescent="0.2">
      <c r="B5" s="13">
        <v>43343</v>
      </c>
      <c r="C5" s="14" t="s">
        <v>46</v>
      </c>
      <c r="D5" s="14"/>
      <c r="E5" s="15" t="s">
        <v>301</v>
      </c>
      <c r="F5" s="21">
        <v>1349100</v>
      </c>
      <c r="G5" s="16" t="s">
        <v>5</v>
      </c>
      <c r="H5" s="21">
        <f>IF(Test[[#This Row],[Currency]]="USD",-Test[[#This Row],[Amount]],-Test[[#This Row],[Amount]]/Currency)</f>
        <v>-899.4</v>
      </c>
    </row>
    <row r="6" spans="2:14" x14ac:dyDescent="0.2">
      <c r="B6" s="13">
        <v>43373</v>
      </c>
      <c r="C6" s="14" t="s">
        <v>46</v>
      </c>
      <c r="D6" s="14"/>
      <c r="E6" s="15" t="s">
        <v>302</v>
      </c>
      <c r="F6" s="21">
        <v>1359000</v>
      </c>
      <c r="G6" s="16" t="s">
        <v>5</v>
      </c>
      <c r="H6" s="21">
        <f>IF(Test[[#This Row],[Currency]]="USD",-Test[[#This Row],[Amount]],-Test[[#This Row],[Amount]]/Currency)</f>
        <v>-906</v>
      </c>
    </row>
    <row r="7" spans="2:14" x14ac:dyDescent="0.2">
      <c r="B7" s="13">
        <v>43404</v>
      </c>
      <c r="C7" s="14" t="s">
        <v>46</v>
      </c>
      <c r="D7" s="14"/>
      <c r="E7" s="15" t="s">
        <v>303</v>
      </c>
      <c r="F7" s="26">
        <v>1405800</v>
      </c>
      <c r="G7" s="16" t="s">
        <v>5</v>
      </c>
      <c r="H7" s="26">
        <f>IF(Test[[#This Row],[Currency]]="USD",-Test[[#This Row],[Amount]],-Test[[#This Row],[Amount]]/Currency)</f>
        <v>-937.2</v>
      </c>
      <c r="K7" s="20"/>
      <c r="L7" s="20"/>
    </row>
    <row r="8" spans="2:14" x14ac:dyDescent="0.2">
      <c r="B8" s="13">
        <v>43434</v>
      </c>
      <c r="C8" s="14" t="s">
        <v>46</v>
      </c>
      <c r="D8" s="14"/>
      <c r="E8" s="15" t="s">
        <v>304</v>
      </c>
      <c r="F8" s="26">
        <v>1415700</v>
      </c>
      <c r="G8" s="16" t="s">
        <v>5</v>
      </c>
      <c r="H8" s="26">
        <f>IF(Test[[#This Row],[Currency]]="USD",-Test[[#This Row],[Amount]],-Test[[#This Row],[Amount]]/Currency)</f>
        <v>-943.8</v>
      </c>
      <c r="N8" s="3"/>
    </row>
    <row r="9" spans="2:14" x14ac:dyDescent="0.2">
      <c r="B9" s="13">
        <v>43585</v>
      </c>
      <c r="C9" s="14" t="s">
        <v>46</v>
      </c>
      <c r="D9" s="14"/>
      <c r="E9" s="15" t="s">
        <v>305</v>
      </c>
      <c r="F9" s="21">
        <v>1368900</v>
      </c>
      <c r="G9" s="16" t="s">
        <v>5</v>
      </c>
      <c r="H9" s="21">
        <f>IF(Test[[#This Row],[Currency]]="USD",-Test[[#This Row],[Amount]],-Test[[#This Row],[Amount]]/Currency)</f>
        <v>-912.6</v>
      </c>
    </row>
    <row r="10" spans="2:14" x14ac:dyDescent="0.2">
      <c r="B10" s="13">
        <v>43646</v>
      </c>
      <c r="C10" s="14" t="s">
        <v>46</v>
      </c>
      <c r="D10" s="14"/>
      <c r="E10" s="15" t="s">
        <v>306</v>
      </c>
      <c r="F10" s="21">
        <v>1358100</v>
      </c>
      <c r="G10" s="16" t="s">
        <v>5</v>
      </c>
      <c r="H10" s="21">
        <f>IF(Test[[#This Row],[Currency]]="USD",-Test[[#This Row],[Amount]],-Test[[#This Row],[Amount]]/Currency)</f>
        <v>-905.4</v>
      </c>
      <c r="K10" s="20"/>
    </row>
    <row r="11" spans="2:14" x14ac:dyDescent="0.2">
      <c r="B11" s="13">
        <v>43676</v>
      </c>
      <c r="C11" s="14" t="s">
        <v>46</v>
      </c>
      <c r="D11" s="14"/>
      <c r="E11" s="15" t="s">
        <v>307</v>
      </c>
      <c r="F11" s="37">
        <v>1358100</v>
      </c>
      <c r="G11" s="16" t="s">
        <v>5</v>
      </c>
      <c r="H11" s="37">
        <f>IF(Test[[#This Row],[Currency]]="USD",-Test[[#This Row],[Amount]],-Test[[#This Row],[Amount]]/Currency)</f>
        <v>-905.4</v>
      </c>
      <c r="K11" s="20"/>
    </row>
    <row r="12" spans="2:14" x14ac:dyDescent="0.2">
      <c r="B12" s="13">
        <v>43707</v>
      </c>
      <c r="C12" s="14" t="s">
        <v>46</v>
      </c>
      <c r="D12" s="14"/>
      <c r="E12" s="15" t="s">
        <v>308</v>
      </c>
      <c r="F12" s="37">
        <v>1364400</v>
      </c>
      <c r="G12" s="16" t="s">
        <v>5</v>
      </c>
      <c r="H12" s="37">
        <f>IF(Test[[#This Row],[Currency]]="USD",-Test[[#This Row],[Amount]],-Test[[#This Row],[Amount]]/Currency)</f>
        <v>-909.6</v>
      </c>
      <c r="K12" s="20"/>
    </row>
    <row r="13" spans="2:14" x14ac:dyDescent="0.2">
      <c r="B13" s="13">
        <v>43738</v>
      </c>
      <c r="C13" s="14" t="s">
        <v>46</v>
      </c>
      <c r="D13" s="14"/>
      <c r="E13" s="15" t="s">
        <v>309</v>
      </c>
      <c r="F13" s="37">
        <v>1378800</v>
      </c>
      <c r="G13" s="16" t="s">
        <v>5</v>
      </c>
      <c r="H13" s="37">
        <f>IF(Test[[#This Row],[Currency]]="USD",-Test[[#This Row],[Amount]],-Test[[#This Row],[Amount]]/Currency)</f>
        <v>-919.2</v>
      </c>
    </row>
    <row r="14" spans="2:14" x14ac:dyDescent="0.2">
      <c r="B14" s="13">
        <v>43799</v>
      </c>
      <c r="C14" s="14" t="s">
        <v>46</v>
      </c>
      <c r="D14" s="14"/>
      <c r="E14" s="15" t="s">
        <v>455</v>
      </c>
      <c r="F14" s="21">
        <v>1355400</v>
      </c>
      <c r="G14" s="16" t="s">
        <v>5</v>
      </c>
      <c r="H14" s="21">
        <f>IF(Test[[#This Row],[Currency]]="USD",-Test[[#This Row],[Amount]],-Test[[#This Row],[Amount]]/Currency)</f>
        <v>-903.6</v>
      </c>
    </row>
    <row r="15" spans="2:14" x14ac:dyDescent="0.2">
      <c r="B15" s="13">
        <v>43834</v>
      </c>
      <c r="C15" s="14" t="s">
        <v>46</v>
      </c>
      <c r="D15" s="14"/>
      <c r="E15" s="15" t="s">
        <v>991</v>
      </c>
      <c r="F15" s="21">
        <f>1319400-100000</f>
        <v>1219400</v>
      </c>
      <c r="G15" s="16" t="s">
        <v>5</v>
      </c>
      <c r="H15" s="21">
        <f>IF(Test[[#This Row],[Currency]]="USD",-Test[[#This Row],[Amount]],-Test[[#This Row],[Amount]]/Currency)</f>
        <v>-812.93333333333328</v>
      </c>
    </row>
    <row r="16" spans="2:14" x14ac:dyDescent="0.2">
      <c r="B16" s="13">
        <v>43865</v>
      </c>
      <c r="C16" s="14" t="s">
        <v>46</v>
      </c>
      <c r="D16" s="14"/>
      <c r="E16" s="15" t="s">
        <v>989</v>
      </c>
      <c r="F16" s="21">
        <v>1319400</v>
      </c>
      <c r="G16" s="16" t="s">
        <v>5</v>
      </c>
      <c r="H16" s="21">
        <f>IF(Test[[#This Row],[Currency]]="USD",-Test[[#This Row],[Amount]],-Test[[#This Row],[Amount]]/Currency)</f>
        <v>-879.6</v>
      </c>
    </row>
    <row r="17" spans="2:14" x14ac:dyDescent="0.2">
      <c r="B17" s="13">
        <v>43894</v>
      </c>
      <c r="C17" s="14" t="s">
        <v>46</v>
      </c>
      <c r="D17" s="14"/>
      <c r="E17" s="15" t="s">
        <v>990</v>
      </c>
      <c r="F17" s="21">
        <v>1297800</v>
      </c>
      <c r="G17" s="16" t="s">
        <v>5</v>
      </c>
      <c r="H17" s="21">
        <f>IF(Test[[#This Row],[Currency]]="USD",-Test[[#This Row],[Amount]],-Test[[#This Row],[Amount]]/Currency)</f>
        <v>-865.2</v>
      </c>
    </row>
    <row r="18" spans="2:14" x14ac:dyDescent="0.2">
      <c r="B18" s="13">
        <v>43955</v>
      </c>
      <c r="C18" s="14" t="s">
        <v>46</v>
      </c>
      <c r="D18" s="14"/>
      <c r="E18" s="15" t="s">
        <v>992</v>
      </c>
      <c r="F18" s="21">
        <v>1264501</v>
      </c>
      <c r="G18" s="16" t="s">
        <v>5</v>
      </c>
      <c r="H18" s="121">
        <f>IF(Test[[#This Row],[Currency]]="USD",-Test[[#This Row],[Amount]],-Test[[#This Row],[Amount]]/Currency)</f>
        <v>-843.00066666666669</v>
      </c>
    </row>
    <row r="19" spans="2:14" x14ac:dyDescent="0.2">
      <c r="B19" s="13">
        <v>43955</v>
      </c>
      <c r="C19" s="14" t="s">
        <v>46</v>
      </c>
      <c r="D19" s="14"/>
      <c r="E19" s="15" t="s">
        <v>993</v>
      </c>
      <c r="F19" s="21">
        <v>630450</v>
      </c>
      <c r="G19" s="16" t="s">
        <v>5</v>
      </c>
      <c r="H19" s="121">
        <f>IF(Test[[#This Row],[Currency]]="USD",-Test[[#This Row],[Amount]],-Test[[#This Row],[Amount]]/Currency)</f>
        <v>-420.3</v>
      </c>
    </row>
    <row r="20" spans="2:14" x14ac:dyDescent="0.2">
      <c r="B20" s="13">
        <v>43955</v>
      </c>
      <c r="C20" s="14" t="s">
        <v>46</v>
      </c>
      <c r="D20" s="14"/>
      <c r="E20" s="15" t="s">
        <v>994</v>
      </c>
      <c r="F20" s="21">
        <v>1254900</v>
      </c>
      <c r="G20" s="16" t="s">
        <v>5</v>
      </c>
      <c r="H20" s="121">
        <f>IF(Test[[#This Row],[Currency]]="USD",-Test[[#This Row],[Amount]],-Test[[#This Row],[Amount]]/Currency)</f>
        <v>-836.6</v>
      </c>
    </row>
    <row r="21" spans="2:14" x14ac:dyDescent="0.2">
      <c r="B21" s="13">
        <v>43955</v>
      </c>
      <c r="C21" s="14" t="s">
        <v>46</v>
      </c>
      <c r="D21" s="14"/>
      <c r="E21" s="15" t="s">
        <v>995</v>
      </c>
      <c r="F21" s="21">
        <v>1260900</v>
      </c>
      <c r="G21" s="16" t="s">
        <v>5</v>
      </c>
      <c r="H21" s="121">
        <f>IF(Test[[#This Row],[Currency]]="USD",-Test[[#This Row],[Amount]],-Test[[#This Row],[Amount]]/Currency)</f>
        <v>-840.6</v>
      </c>
    </row>
    <row r="22" spans="2:14" x14ac:dyDescent="0.2">
      <c r="B22" s="13">
        <v>43955</v>
      </c>
      <c r="C22" s="14" t="s">
        <v>46</v>
      </c>
      <c r="D22" s="14"/>
      <c r="E22" s="15" t="s">
        <v>996</v>
      </c>
      <c r="F22" s="21">
        <v>1198800</v>
      </c>
      <c r="G22" s="16" t="s">
        <v>5</v>
      </c>
      <c r="H22" s="121">
        <f>IF(Test[[#This Row],[Currency]]="USD",-Test[[#This Row],[Amount]],-Test[[#This Row],[Amount]]/Currency)</f>
        <v>-799.2</v>
      </c>
    </row>
    <row r="23" spans="2:14" x14ac:dyDescent="0.2">
      <c r="B23" s="13">
        <v>43534</v>
      </c>
      <c r="C23" s="14" t="s">
        <v>298</v>
      </c>
      <c r="D23" s="14"/>
      <c r="E23" s="15" t="s">
        <v>1223</v>
      </c>
      <c r="F23" s="21">
        <v>2398277</v>
      </c>
      <c r="G23" s="16" t="s">
        <v>5</v>
      </c>
      <c r="H23" s="21">
        <f>IF(Test[[#This Row],[Currency]]="USD",-Test[[#This Row],[Amount]],-Test[[#This Row],[Amount]]/Currency)</f>
        <v>-1598.8513333333333</v>
      </c>
      <c r="N23" s="3"/>
    </row>
    <row r="24" spans="2:14" x14ac:dyDescent="0.2">
      <c r="B24" s="13">
        <v>43565</v>
      </c>
      <c r="C24" s="14" t="s">
        <v>46</v>
      </c>
      <c r="D24" s="14"/>
      <c r="E24" s="15" t="s">
        <v>50</v>
      </c>
      <c r="F24" s="27">
        <v>1390000</v>
      </c>
      <c r="G24" s="16" t="s">
        <v>5</v>
      </c>
      <c r="H24" s="27">
        <f>IF(Test[[#This Row],[Currency]]="USD",-Test[[#This Row],[Amount]],-Test[[#This Row],[Amount]]/Currency)</f>
        <v>-926.66666666666663</v>
      </c>
      <c r="N24" s="3"/>
    </row>
    <row r="25" spans="2:14" x14ac:dyDescent="0.2">
      <c r="B25" s="13">
        <v>43565</v>
      </c>
      <c r="C25" s="14" t="s">
        <v>298</v>
      </c>
      <c r="D25" s="14"/>
      <c r="E25" s="15" t="s">
        <v>1222</v>
      </c>
      <c r="F25" s="21">
        <v>10592158</v>
      </c>
      <c r="G25" s="16" t="s">
        <v>5</v>
      </c>
      <c r="H25" s="21">
        <f>IF(Test[[#This Row],[Currency]]="USD",-Test[[#This Row],[Amount]],-Test[[#This Row],[Amount]]/Currency)</f>
        <v>-7061.4386666666669</v>
      </c>
      <c r="N25" s="3"/>
    </row>
    <row r="26" spans="2:14" x14ac:dyDescent="0.2">
      <c r="B26" s="13">
        <v>43577</v>
      </c>
      <c r="C26" s="14" t="s">
        <v>46</v>
      </c>
      <c r="D26" s="14"/>
      <c r="E26" s="15" t="s">
        <v>56</v>
      </c>
      <c r="F26" s="27">
        <v>3850</v>
      </c>
      <c r="G26" s="16" t="s">
        <v>6</v>
      </c>
      <c r="H26" s="27">
        <f>IF(Test[[#This Row],[Currency]]="USD",-Test[[#This Row],[Amount]],-Test[[#This Row],[Amount]]/Currency)</f>
        <v>-3850</v>
      </c>
    </row>
    <row r="27" spans="2:14" x14ac:dyDescent="0.2">
      <c r="B27" s="13">
        <v>43595</v>
      </c>
      <c r="C27" s="14" t="s">
        <v>298</v>
      </c>
      <c r="D27" s="14"/>
      <c r="E27" s="15" t="s">
        <v>1221</v>
      </c>
      <c r="F27" s="21">
        <v>477841</v>
      </c>
      <c r="G27" s="16" t="s">
        <v>5</v>
      </c>
      <c r="H27" s="21">
        <f>IF(Test[[#This Row],[Currency]]="USD",-Test[[#This Row],[Amount]],-Test[[#This Row],[Amount]]/Currency)</f>
        <v>-318.56066666666669</v>
      </c>
    </row>
    <row r="28" spans="2:14" x14ac:dyDescent="0.2">
      <c r="B28" s="13">
        <v>43950</v>
      </c>
      <c r="C28" s="14" t="s">
        <v>46</v>
      </c>
      <c r="D28" s="14"/>
      <c r="E28" s="15" t="s">
        <v>920</v>
      </c>
      <c r="F28" s="21">
        <v>381750</v>
      </c>
      <c r="G28" s="16" t="s">
        <v>5</v>
      </c>
      <c r="H28" s="21">
        <f>IF(Test[[#This Row],[Currency]]="USD",-Test[[#This Row],[Amount]],-Test[[#This Row],[Amount]]/Currency)</f>
        <v>-254.5</v>
      </c>
    </row>
    <row r="29" spans="2:14" x14ac:dyDescent="0.2">
      <c r="B29" s="13">
        <v>43599</v>
      </c>
      <c r="C29" s="14" t="s">
        <v>46</v>
      </c>
      <c r="D29" s="14"/>
      <c r="E29" s="15" t="s">
        <v>830</v>
      </c>
      <c r="F29" s="27">
        <v>2996400</v>
      </c>
      <c r="G29" s="16" t="s">
        <v>5</v>
      </c>
      <c r="H29" s="27">
        <f>IF(Test[[#This Row],[Currency]]="USD",-Test[[#This Row],[Amount]],-Test[[#This Row],[Amount]]/Currency)</f>
        <v>-1997.6</v>
      </c>
    </row>
    <row r="30" spans="2:14" x14ac:dyDescent="0.2">
      <c r="B30" s="13">
        <v>43607</v>
      </c>
      <c r="C30" s="14" t="s">
        <v>46</v>
      </c>
      <c r="D30" s="14"/>
      <c r="E30" s="15" t="s">
        <v>48</v>
      </c>
      <c r="F30" s="27">
        <v>1942400</v>
      </c>
      <c r="G30" s="16" t="s">
        <v>5</v>
      </c>
      <c r="H30" s="27">
        <f>IF(Test[[#This Row],[Currency]]="USD",-Test[[#This Row],[Amount]],-Test[[#This Row],[Amount]]/Currency)</f>
        <v>-1294.9333333333334</v>
      </c>
    </row>
    <row r="31" spans="2:14" x14ac:dyDescent="0.2">
      <c r="B31" s="13">
        <v>43607</v>
      </c>
      <c r="C31" s="14" t="s">
        <v>46</v>
      </c>
      <c r="D31" s="14"/>
      <c r="E31" s="15" t="s">
        <v>48</v>
      </c>
      <c r="F31" s="27">
        <v>3583150</v>
      </c>
      <c r="G31" s="16" t="s">
        <v>5</v>
      </c>
      <c r="H31" s="27">
        <f>IF(Test[[#This Row],[Currency]]="USD",-Test[[#This Row],[Amount]],-Test[[#This Row],[Amount]]/Currency)</f>
        <v>-2388.7666666666669</v>
      </c>
    </row>
    <row r="32" spans="2:14" x14ac:dyDescent="0.2">
      <c r="B32" s="13">
        <v>43615</v>
      </c>
      <c r="C32" s="14"/>
      <c r="D32" s="14"/>
      <c r="E32" s="15" t="s">
        <v>58</v>
      </c>
      <c r="F32" s="27">
        <v>1496400</v>
      </c>
      <c r="G32" s="16" t="s">
        <v>5</v>
      </c>
      <c r="H32" s="27">
        <f>IF(Test[[#This Row],[Currency]]="USD",-Test[[#This Row],[Amount]],-Test[[#This Row],[Amount]]/Currency)</f>
        <v>-997.6</v>
      </c>
    </row>
    <row r="33" spans="2:13" x14ac:dyDescent="0.2">
      <c r="B33" s="13">
        <v>43626</v>
      </c>
      <c r="C33" s="14" t="s">
        <v>298</v>
      </c>
      <c r="D33" s="14"/>
      <c r="E33" s="15" t="s">
        <v>1220</v>
      </c>
      <c r="F33" s="21">
        <v>3417860</v>
      </c>
      <c r="G33" s="16" t="s">
        <v>5</v>
      </c>
      <c r="H33" s="21">
        <f>IF(Test[[#This Row],[Currency]]="USD",-Test[[#This Row],[Amount]],-Test[[#This Row],[Amount]]/Currency)</f>
        <v>-2278.5733333333333</v>
      </c>
    </row>
    <row r="34" spans="2:13" x14ac:dyDescent="0.2">
      <c r="B34" s="13">
        <v>43630</v>
      </c>
      <c r="C34" s="14" t="s">
        <v>46</v>
      </c>
      <c r="D34" s="14"/>
      <c r="E34" s="15" t="s">
        <v>316</v>
      </c>
      <c r="F34" s="27">
        <v>4000</v>
      </c>
      <c r="G34" s="16" t="s">
        <v>6</v>
      </c>
      <c r="H34" s="27">
        <f>IF(Test[[#This Row],[Currency]]="USD",-Test[[#This Row],[Amount]],-Test[[#This Row],[Amount]]/Currency)</f>
        <v>-4000</v>
      </c>
    </row>
    <row r="35" spans="2:13" x14ac:dyDescent="0.2">
      <c r="B35" s="13">
        <v>43630</v>
      </c>
      <c r="C35" s="14" t="s">
        <v>46</v>
      </c>
      <c r="D35" s="14"/>
      <c r="E35" s="15" t="s">
        <v>311</v>
      </c>
      <c r="F35" s="27">
        <v>1407.97</v>
      </c>
      <c r="G35" s="16" t="s">
        <v>6</v>
      </c>
      <c r="H35" s="27">
        <f>IF(Test[[#This Row],[Currency]]="USD",-Test[[#This Row],[Amount]],-Test[[#This Row],[Amount]]/Currency)</f>
        <v>-1407.97</v>
      </c>
    </row>
    <row r="36" spans="2:13" x14ac:dyDescent="0.2">
      <c r="B36" s="13">
        <v>43644</v>
      </c>
      <c r="C36" s="14" t="s">
        <v>46</v>
      </c>
      <c r="D36" s="14"/>
      <c r="E36" s="15" t="s">
        <v>47</v>
      </c>
      <c r="F36" s="27">
        <v>4907000</v>
      </c>
      <c r="G36" s="16" t="s">
        <v>5</v>
      </c>
      <c r="H36" s="27">
        <f>IF(Test[[#This Row],[Currency]]="USD",-Test[[#This Row],[Amount]],-Test[[#This Row],[Amount]]/Currency)</f>
        <v>-3271.3333333333335</v>
      </c>
      <c r="K36" s="20"/>
    </row>
    <row r="37" spans="2:13" x14ac:dyDescent="0.2">
      <c r="B37" s="13">
        <v>43656</v>
      </c>
      <c r="C37" s="14" t="s">
        <v>298</v>
      </c>
      <c r="D37" s="14"/>
      <c r="E37" s="15" t="s">
        <v>1219</v>
      </c>
      <c r="F37" s="21">
        <v>225697</v>
      </c>
      <c r="G37" s="16" t="s">
        <v>5</v>
      </c>
      <c r="H37" s="21">
        <f>IF(Test[[#This Row],[Currency]]="USD",-Test[[#This Row],[Amount]],-Test[[#This Row],[Amount]]/Currency)</f>
        <v>-150.46466666666666</v>
      </c>
      <c r="K37" s="20"/>
    </row>
    <row r="38" spans="2:13" x14ac:dyDescent="0.2">
      <c r="B38" s="13">
        <v>43669</v>
      </c>
      <c r="C38" s="14" t="s">
        <v>46</v>
      </c>
      <c r="D38" s="14"/>
      <c r="E38" s="15" t="s">
        <v>62</v>
      </c>
      <c r="F38" s="37">
        <v>4127350</v>
      </c>
      <c r="G38" s="16" t="s">
        <v>5</v>
      </c>
      <c r="H38" s="37">
        <f>IF(Test[[#This Row],[Currency]]="USD",-Test[[#This Row],[Amount]],-Test[[#This Row],[Amount]]/Currency)</f>
        <v>-2751.5666666666666</v>
      </c>
      <c r="K38" s="20"/>
    </row>
    <row r="39" spans="2:13" x14ac:dyDescent="0.2">
      <c r="B39" s="13">
        <v>43679</v>
      </c>
      <c r="C39" s="14"/>
      <c r="D39" s="14"/>
      <c r="E39" s="15" t="s">
        <v>34</v>
      </c>
      <c r="F39" s="37">
        <v>748200</v>
      </c>
      <c r="G39" s="16" t="s">
        <v>5</v>
      </c>
      <c r="H39" s="37">
        <f>IF(Test[[#This Row],[Currency]]="USD",-Test[[#This Row],[Amount]],-Test[[#This Row],[Amount]]/Currency)</f>
        <v>-498.8</v>
      </c>
      <c r="K39" s="20"/>
    </row>
    <row r="40" spans="2:13" x14ac:dyDescent="0.2">
      <c r="B40" s="13">
        <v>43687</v>
      </c>
      <c r="C40" s="14" t="s">
        <v>298</v>
      </c>
      <c r="D40" s="14"/>
      <c r="E40" s="15" t="s">
        <v>1218</v>
      </c>
      <c r="F40" s="21">
        <v>2543078</v>
      </c>
      <c r="G40" s="16" t="s">
        <v>5</v>
      </c>
      <c r="H40" s="21">
        <f>IF(Test[[#This Row],[Currency]]="USD",-Test[[#This Row],[Amount]],-Test[[#This Row],[Amount]]/Currency)</f>
        <v>-1695.3853333333334</v>
      </c>
      <c r="K40" s="20"/>
    </row>
    <row r="41" spans="2:13" x14ac:dyDescent="0.2">
      <c r="B41" s="13">
        <v>43718</v>
      </c>
      <c r="C41" s="14" t="s">
        <v>298</v>
      </c>
      <c r="D41" s="14"/>
      <c r="E41" s="15" t="s">
        <v>1217</v>
      </c>
      <c r="F41" s="21">
        <v>2214552</v>
      </c>
      <c r="G41" s="16" t="s">
        <v>5</v>
      </c>
      <c r="H41" s="21">
        <f>IF(Test[[#This Row],[Currency]]="USD",-Test[[#This Row],[Amount]],-Test[[#This Row],[Amount]]/Currency)</f>
        <v>-1476.3679999999999</v>
      </c>
    </row>
    <row r="42" spans="2:13" x14ac:dyDescent="0.2">
      <c r="B42" s="13">
        <v>43738</v>
      </c>
      <c r="C42" s="14"/>
      <c r="D42" s="14"/>
      <c r="E42" s="15" t="s">
        <v>997</v>
      </c>
      <c r="F42" s="37">
        <v>748200</v>
      </c>
      <c r="G42" s="16" t="s">
        <v>5</v>
      </c>
      <c r="H42" s="37">
        <f>IF(Test[[#This Row],[Currency]]="USD",-Test[[#This Row],[Amount]],-Test[[#This Row],[Amount]]/Currency)</f>
        <v>-498.8</v>
      </c>
    </row>
    <row r="43" spans="2:13" x14ac:dyDescent="0.2">
      <c r="B43" s="13">
        <v>43748</v>
      </c>
      <c r="C43" s="14" t="s">
        <v>298</v>
      </c>
      <c r="D43" s="14"/>
      <c r="E43" s="15" t="s">
        <v>1216</v>
      </c>
      <c r="F43" s="21">
        <v>760056</v>
      </c>
      <c r="G43" s="16" t="s">
        <v>5</v>
      </c>
      <c r="H43" s="21">
        <f>IF(Test[[#This Row],[Currency]]="USD",-Test[[#This Row],[Amount]],-Test[[#This Row],[Amount]]/Currency)</f>
        <v>-506.70400000000001</v>
      </c>
    </row>
    <row r="44" spans="2:13" x14ac:dyDescent="0.2">
      <c r="B44" s="13">
        <v>43768</v>
      </c>
      <c r="C44" s="14" t="s">
        <v>46</v>
      </c>
      <c r="D44" s="14"/>
      <c r="E44" s="15" t="s">
        <v>835</v>
      </c>
      <c r="F44" s="21">
        <f>7*350</f>
        <v>2450</v>
      </c>
      <c r="G44" s="16" t="s">
        <v>6</v>
      </c>
      <c r="H44" s="21">
        <f>IF(Test[[#This Row],[Currency]]="USD",-Test[[#This Row],[Amount]],-Test[[#This Row],[Amount]]/Currency)</f>
        <v>-2450</v>
      </c>
    </row>
    <row r="45" spans="2:13" x14ac:dyDescent="0.2">
      <c r="B45" s="13">
        <v>43798</v>
      </c>
      <c r="C45" s="14" t="s">
        <v>46</v>
      </c>
      <c r="D45" s="14"/>
      <c r="E45" s="15" t="s">
        <v>420</v>
      </c>
      <c r="F45" s="21">
        <v>3809400</v>
      </c>
      <c r="G45" s="16" t="s">
        <v>5</v>
      </c>
      <c r="H45" s="21">
        <f>IF(Test[[#This Row],[Currency]]="USD",-Test[[#This Row],[Amount]],-Test[[#This Row],[Amount]]/Currency)</f>
        <v>-2539.6</v>
      </c>
    </row>
    <row r="46" spans="2:13" x14ac:dyDescent="0.2">
      <c r="B46" s="13">
        <v>43865</v>
      </c>
      <c r="C46" s="14" t="s">
        <v>46</v>
      </c>
      <c r="D46" s="14"/>
      <c r="E46" s="15" t="s">
        <v>655</v>
      </c>
      <c r="F46" s="98">
        <v>1600</v>
      </c>
      <c r="G46" s="16" t="s">
        <v>6</v>
      </c>
      <c r="H46" s="98">
        <f>IF(Test[[#This Row],[Currency]]="USD",-Test[[#This Row],[Amount]],-Test[[#This Row],[Amount]]/Currency)</f>
        <v>-1600</v>
      </c>
      <c r="M46" s="3"/>
    </row>
    <row r="47" spans="2:13" x14ac:dyDescent="0.2">
      <c r="B47" s="13">
        <v>43951</v>
      </c>
      <c r="C47" s="14" t="s">
        <v>46</v>
      </c>
      <c r="D47" s="14"/>
      <c r="E47" s="15" t="s">
        <v>834</v>
      </c>
      <c r="F47" s="106">
        <f>5*350</f>
        <v>1750</v>
      </c>
      <c r="G47" s="16" t="s">
        <v>6</v>
      </c>
      <c r="H47" s="106">
        <f>IF(Test[[#This Row],[Currency]]="USD",-Test[[#This Row],[Amount]],-Test[[#This Row],[Amount]]/Currency)</f>
        <v>-1750</v>
      </c>
      <c r="M47" s="3"/>
    </row>
    <row r="48" spans="2:13" x14ac:dyDescent="0.2">
      <c r="B48" s="13">
        <v>43955</v>
      </c>
      <c r="C48" s="14" t="s">
        <v>46</v>
      </c>
      <c r="D48" s="14"/>
      <c r="E48" s="15" t="s">
        <v>828</v>
      </c>
      <c r="F48" s="21">
        <v>1500</v>
      </c>
      <c r="G48" s="16" t="s">
        <v>6</v>
      </c>
      <c r="H48" s="21">
        <f>IF(Test[[#This Row],[Currency]]="USD",-Test[[#This Row],[Amount]],-Test[[#This Row],[Amount]]/Currency)</f>
        <v>-1500</v>
      </c>
      <c r="M48" s="3"/>
    </row>
    <row r="49" spans="2:13" x14ac:dyDescent="0.2">
      <c r="B49" s="13">
        <v>43981</v>
      </c>
      <c r="C49" s="14" t="s">
        <v>46</v>
      </c>
      <c r="D49" s="14"/>
      <c r="E49" s="15" t="s">
        <v>919</v>
      </c>
      <c r="F49" s="21">
        <v>588</v>
      </c>
      <c r="G49" s="16" t="s">
        <v>6</v>
      </c>
      <c r="H49" s="21">
        <f>IF(Test[[#This Row],[Currency]]="USD",-Test[[#This Row],[Amount]],-Test[[#This Row],[Amount]]/Currency)</f>
        <v>-588</v>
      </c>
      <c r="M49" s="3"/>
    </row>
    <row r="50" spans="2:13" x14ac:dyDescent="0.2">
      <c r="B50" s="13">
        <v>43986</v>
      </c>
      <c r="C50" s="14" t="s">
        <v>46</v>
      </c>
      <c r="D50" s="14"/>
      <c r="E50" s="15" t="s">
        <v>831</v>
      </c>
      <c r="F50" s="106">
        <v>1263</v>
      </c>
      <c r="G50" s="16" t="s">
        <v>6</v>
      </c>
      <c r="H50" s="106">
        <f>IF(Test[[#This Row],[Currency]]="USD",-Test[[#This Row],[Amount]],-Test[[#This Row],[Amount]]/Currency)</f>
        <v>-1263</v>
      </c>
      <c r="M50" s="3"/>
    </row>
    <row r="51" spans="2:13" x14ac:dyDescent="0.2">
      <c r="B51" s="51">
        <v>43511</v>
      </c>
      <c r="C51" s="52" t="s">
        <v>289</v>
      </c>
      <c r="D51" s="52"/>
      <c r="E51" s="53" t="s">
        <v>683</v>
      </c>
      <c r="F51" s="54">
        <v>3418.65</v>
      </c>
      <c r="G51" s="52" t="s">
        <v>6</v>
      </c>
      <c r="H51" s="21">
        <f>IF(Test[[#This Row],[Currency]]="USD",-Test[[#This Row],[Amount]],-Test[[#This Row],[Amount]]/Currency)</f>
        <v>-3418.65</v>
      </c>
      <c r="L51" s="20"/>
      <c r="M51" s="20"/>
    </row>
    <row r="52" spans="2:13" x14ac:dyDescent="0.2">
      <c r="B52" s="51">
        <v>43876</v>
      </c>
      <c r="C52" s="52" t="s">
        <v>478</v>
      </c>
      <c r="D52" s="52"/>
      <c r="E52" s="53" t="s">
        <v>565</v>
      </c>
      <c r="F52" s="54">
        <v>5000</v>
      </c>
      <c r="G52" s="52" t="s">
        <v>6</v>
      </c>
      <c r="H52" s="21">
        <f>IF(Test[[#This Row],[Currency]]="USD",-Test[[#This Row],[Amount]],-Test[[#This Row],[Amount]]/Currency)</f>
        <v>-5000</v>
      </c>
    </row>
    <row r="53" spans="2:13" x14ac:dyDescent="0.2">
      <c r="B53" s="13">
        <v>43882</v>
      </c>
      <c r="C53" s="14" t="s">
        <v>1049</v>
      </c>
      <c r="D53" s="14"/>
      <c r="E53" s="15" t="s">
        <v>1051</v>
      </c>
      <c r="F53" s="21">
        <v>3132969</v>
      </c>
      <c r="G53" s="16" t="s">
        <v>5</v>
      </c>
      <c r="H53" s="21">
        <f>IF(Test[[#This Row],[Currency]]="USD",-Test[[#This Row],[Amount]],-Test[[#This Row],[Amount]]/Currency)</f>
        <v>-2088.6460000000002</v>
      </c>
    </row>
    <row r="54" spans="2:13" x14ac:dyDescent="0.2">
      <c r="B54" s="13">
        <v>43882</v>
      </c>
      <c r="C54" s="14" t="s">
        <v>1049</v>
      </c>
      <c r="D54" s="14"/>
      <c r="E54" s="15" t="s">
        <v>1050</v>
      </c>
      <c r="F54" s="21">
        <v>3080556</v>
      </c>
      <c r="G54" s="16" t="s">
        <v>5</v>
      </c>
      <c r="H54" s="21">
        <f>IF(Test[[#This Row],[Currency]]="USD",-Test[[#This Row],[Amount]],-Test[[#This Row],[Amount]]/Currency)</f>
        <v>-2053.7040000000002</v>
      </c>
    </row>
    <row r="55" spans="2:13" x14ac:dyDescent="0.2">
      <c r="B55" s="13">
        <v>43916</v>
      </c>
      <c r="C55" s="14" t="s">
        <v>823</v>
      </c>
      <c r="D55" s="14"/>
      <c r="E55" s="15" t="s">
        <v>824</v>
      </c>
      <c r="F55" s="21">
        <v>6804000</v>
      </c>
      <c r="G55" s="16" t="s">
        <v>5</v>
      </c>
      <c r="H55" s="21">
        <f>IF(Test[[#This Row],[Currency]]="USD",-Test[[#This Row],[Amount]],-Test[[#This Row],[Amount]]/Currency)</f>
        <v>-4536</v>
      </c>
    </row>
    <row r="56" spans="2:13" x14ac:dyDescent="0.2">
      <c r="B56" s="13">
        <v>44182</v>
      </c>
      <c r="C56" s="14" t="s">
        <v>746</v>
      </c>
      <c r="D56" s="14" t="s">
        <v>624</v>
      </c>
      <c r="E56" s="15" t="s">
        <v>1205</v>
      </c>
      <c r="F56" s="21">
        <v>500000</v>
      </c>
      <c r="G56" s="16" t="s">
        <v>5</v>
      </c>
      <c r="H56" s="21">
        <f>IF(Test[[#This Row],[Currency]]="USD",-Test[[#This Row],[Amount]],-Test[[#This Row],[Amount]]/Currency)</f>
        <v>-333.33333333333331</v>
      </c>
    </row>
    <row r="57" spans="2:13" x14ac:dyDescent="0.2">
      <c r="B57" s="13">
        <v>43882</v>
      </c>
      <c r="C57" s="14" t="s">
        <v>746</v>
      </c>
      <c r="D57" s="14" t="s">
        <v>624</v>
      </c>
      <c r="E57" s="15" t="s">
        <v>1206</v>
      </c>
      <c r="F57" s="21">
        <v>500000</v>
      </c>
      <c r="G57" s="16" t="s">
        <v>5</v>
      </c>
      <c r="H57" s="21">
        <f>IF(Test[[#This Row],[Currency]]="USD",-Test[[#This Row],[Amount]],-Test[[#This Row],[Amount]]/Currency)</f>
        <v>-333.33333333333331</v>
      </c>
    </row>
    <row r="58" spans="2:13" x14ac:dyDescent="0.2">
      <c r="B58" s="13">
        <v>43882</v>
      </c>
      <c r="C58" s="14" t="s">
        <v>746</v>
      </c>
      <c r="D58" s="14" t="s">
        <v>624</v>
      </c>
      <c r="E58" s="15" t="s">
        <v>1207</v>
      </c>
      <c r="F58" s="21">
        <v>500000</v>
      </c>
      <c r="G58" s="16" t="s">
        <v>5</v>
      </c>
      <c r="H58" s="192">
        <f>IF(Test[[#This Row],[Currency]]="USD",-Test[[#This Row],[Amount]],-Test[[#This Row],[Amount]]/Currency)</f>
        <v>-333.33333333333331</v>
      </c>
    </row>
    <row r="59" spans="2:13" x14ac:dyDescent="0.2">
      <c r="B59" s="13">
        <v>43882</v>
      </c>
      <c r="C59" s="14" t="s">
        <v>746</v>
      </c>
      <c r="D59" s="14" t="s">
        <v>624</v>
      </c>
      <c r="E59" s="15" t="s">
        <v>1208</v>
      </c>
      <c r="F59" s="21">
        <v>500000</v>
      </c>
      <c r="G59" s="16" t="s">
        <v>5</v>
      </c>
      <c r="H59" s="192">
        <f>IF(Test[[#This Row],[Currency]]="USD",-Test[[#This Row],[Amount]],-Test[[#This Row],[Amount]]/Currency)</f>
        <v>-333.33333333333331</v>
      </c>
    </row>
    <row r="60" spans="2:13" x14ac:dyDescent="0.2">
      <c r="B60" s="13">
        <v>43882</v>
      </c>
      <c r="C60" s="14" t="s">
        <v>746</v>
      </c>
      <c r="D60" s="14" t="s">
        <v>624</v>
      </c>
      <c r="E60" s="15" t="s">
        <v>1209</v>
      </c>
      <c r="F60" s="21">
        <v>500000</v>
      </c>
      <c r="G60" s="16" t="s">
        <v>5</v>
      </c>
      <c r="H60" s="192">
        <f>IF(Test[[#This Row],[Currency]]="USD",-Test[[#This Row],[Amount]],-Test[[#This Row],[Amount]]/Currency)</f>
        <v>-333.33333333333331</v>
      </c>
    </row>
    <row r="61" spans="2:13" x14ac:dyDescent="0.2">
      <c r="B61" s="13">
        <v>43882</v>
      </c>
      <c r="C61" s="14" t="s">
        <v>746</v>
      </c>
      <c r="D61" s="14" t="s">
        <v>624</v>
      </c>
      <c r="E61" s="15" t="s">
        <v>1210</v>
      </c>
      <c r="F61" s="21">
        <v>500000</v>
      </c>
      <c r="G61" s="16" t="s">
        <v>5</v>
      </c>
      <c r="H61" s="192">
        <f>IF(Test[[#This Row],[Currency]]="USD",-Test[[#This Row],[Amount]],-Test[[#This Row],[Amount]]/Currency)</f>
        <v>-333.33333333333331</v>
      </c>
    </row>
    <row r="62" spans="2:13" x14ac:dyDescent="0.2">
      <c r="B62" s="13">
        <v>43882</v>
      </c>
      <c r="C62" s="14" t="s">
        <v>746</v>
      </c>
      <c r="D62" s="14" t="s">
        <v>624</v>
      </c>
      <c r="E62" s="15" t="s">
        <v>1211</v>
      </c>
      <c r="F62" s="21">
        <v>500000</v>
      </c>
      <c r="G62" s="16" t="s">
        <v>5</v>
      </c>
      <c r="H62" s="192">
        <f>IF(Test[[#This Row],[Currency]]="USD",-Test[[#This Row],[Amount]],-Test[[#This Row],[Amount]]/Currency)</f>
        <v>-333.33333333333331</v>
      </c>
    </row>
    <row r="63" spans="2:13" x14ac:dyDescent="0.2">
      <c r="B63" s="13">
        <v>43958</v>
      </c>
      <c r="C63" s="14" t="s">
        <v>46</v>
      </c>
      <c r="D63" s="14" t="s">
        <v>650</v>
      </c>
      <c r="E63" s="15" t="s">
        <v>812</v>
      </c>
      <c r="F63" s="21">
        <f>180*1410</f>
        <v>253800</v>
      </c>
      <c r="G63" s="16" t="s">
        <v>5</v>
      </c>
      <c r="H63" s="21">
        <f>IF(Test[[#This Row],[Currency]]="USD",-Test[[#This Row],[Amount]],-Test[[#This Row],[Amount]]/Currency)</f>
        <v>-169.2</v>
      </c>
    </row>
    <row r="64" spans="2:13" x14ac:dyDescent="0.2">
      <c r="B64" s="13">
        <v>43999</v>
      </c>
      <c r="C64" s="14" t="s">
        <v>1000</v>
      </c>
      <c r="D64" s="14"/>
      <c r="E64" s="15" t="s">
        <v>1201</v>
      </c>
      <c r="F64" s="21">
        <v>200000</v>
      </c>
      <c r="G64" s="16" t="s">
        <v>5</v>
      </c>
      <c r="H64" s="21">
        <f>IF(Test[[#This Row],[Currency]]="USD",-Test[[#This Row],[Amount]],-Test[[#This Row],[Amount]]/Currency)</f>
        <v>-133.33333333333334</v>
      </c>
    </row>
    <row r="65" spans="2:10" x14ac:dyDescent="0.2">
      <c r="B65" s="13">
        <v>44053</v>
      </c>
      <c r="C65" s="14" t="s">
        <v>279</v>
      </c>
      <c r="D65" s="14" t="s">
        <v>813</v>
      </c>
      <c r="E65" s="15" t="s">
        <v>827</v>
      </c>
      <c r="F65" s="21">
        <v>644499.82999999996</v>
      </c>
      <c r="G65" s="16" t="s">
        <v>5</v>
      </c>
      <c r="H65" s="21">
        <f>IF(Test[[#This Row],[Currency]]="USD",-Test[[#This Row],[Amount]],-Test[[#This Row],[Amount]]/Currency)</f>
        <v>-429.6665533333333</v>
      </c>
    </row>
    <row r="66" spans="2:10" x14ac:dyDescent="0.2">
      <c r="B66" s="13">
        <v>44053</v>
      </c>
      <c r="C66" s="14" t="s">
        <v>279</v>
      </c>
      <c r="D66" s="14" t="s">
        <v>813</v>
      </c>
      <c r="E66" s="15" t="s">
        <v>827</v>
      </c>
      <c r="F66" s="21">
        <v>740350</v>
      </c>
      <c r="G66" s="16" t="s">
        <v>5</v>
      </c>
      <c r="H66" s="21">
        <f>IF(Test[[#This Row],[Currency]]="USD",-Test[[#This Row],[Amount]],-Test[[#This Row],[Amount]]/Currency)</f>
        <v>-493.56666666666666</v>
      </c>
    </row>
    <row r="67" spans="2:10" x14ac:dyDescent="0.2">
      <c r="B67" s="13">
        <v>44074</v>
      </c>
      <c r="C67" s="14" t="s">
        <v>279</v>
      </c>
      <c r="D67" s="14" t="s">
        <v>813</v>
      </c>
      <c r="E67" s="15" t="s">
        <v>827</v>
      </c>
      <c r="F67" s="21">
        <v>247500</v>
      </c>
      <c r="G67" s="16" t="s">
        <v>5</v>
      </c>
      <c r="H67" s="21">
        <f>IF(Test[[#This Row],[Currency]]="USD",-Test[[#This Row],[Amount]],-Test[[#This Row],[Amount]]/Currency)</f>
        <v>-165</v>
      </c>
    </row>
    <row r="68" spans="2:10" x14ac:dyDescent="0.2">
      <c r="B68" s="13">
        <v>44080</v>
      </c>
      <c r="C68" s="14" t="s">
        <v>279</v>
      </c>
      <c r="D68" s="14" t="s">
        <v>813</v>
      </c>
      <c r="E68" s="15" t="s">
        <v>827</v>
      </c>
      <c r="F68" s="21">
        <v>625000</v>
      </c>
      <c r="G68" s="16" t="s">
        <v>5</v>
      </c>
      <c r="H68" s="21">
        <f>IF(Test[[#This Row],[Currency]]="USD",-Test[[#This Row],[Amount]],-Test[[#This Row],[Amount]]/Currency)</f>
        <v>-416.66666666666669</v>
      </c>
    </row>
    <row r="69" spans="2:10" x14ac:dyDescent="0.2">
      <c r="B69" s="13">
        <v>44100</v>
      </c>
      <c r="C69" s="14" t="s">
        <v>279</v>
      </c>
      <c r="D69" s="14" t="s">
        <v>813</v>
      </c>
      <c r="E69" s="15" t="s">
        <v>827</v>
      </c>
      <c r="F69" s="21">
        <v>1769019.63</v>
      </c>
      <c r="G69" s="16" t="s">
        <v>5</v>
      </c>
      <c r="H69" s="21">
        <f>IF(Test[[#This Row],[Currency]]="USD",-Test[[#This Row],[Amount]],-Test[[#This Row],[Amount]]/Currency)</f>
        <v>-1179.3464199999999</v>
      </c>
    </row>
    <row r="70" spans="2:10" x14ac:dyDescent="0.2">
      <c r="B70" s="13">
        <v>44100</v>
      </c>
      <c r="C70" s="14" t="s">
        <v>279</v>
      </c>
      <c r="D70" s="14" t="s">
        <v>813</v>
      </c>
      <c r="E70" s="15" t="s">
        <v>827</v>
      </c>
      <c r="F70" s="21">
        <v>1845689.63</v>
      </c>
      <c r="G70" s="16" t="s">
        <v>5</v>
      </c>
      <c r="H70" s="21">
        <f>IF(Test[[#This Row],[Currency]]="USD",-Test[[#This Row],[Amount]],-Test[[#This Row],[Amount]]/Currency)</f>
        <v>-1230.4597533333333</v>
      </c>
    </row>
    <row r="71" spans="2:10" x14ac:dyDescent="0.2">
      <c r="B71" s="13">
        <v>44081</v>
      </c>
      <c r="C71" s="14" t="s">
        <v>530</v>
      </c>
      <c r="D71" s="14" t="s">
        <v>971</v>
      </c>
      <c r="E71" s="15" t="s">
        <v>998</v>
      </c>
      <c r="F71" s="121">
        <v>3771900</v>
      </c>
      <c r="G71" s="16" t="s">
        <v>5</v>
      </c>
      <c r="H71" s="121">
        <f>IF(Test[[#This Row],[Currency]]="USD",-Test[[#This Row],[Amount]],-Test[[#This Row],[Amount]]/Currency)</f>
        <v>-2514.6</v>
      </c>
    </row>
    <row r="72" spans="2:10" x14ac:dyDescent="0.2">
      <c r="B72" s="13">
        <v>43998</v>
      </c>
      <c r="C72" s="14" t="s">
        <v>1000</v>
      </c>
      <c r="D72" s="14"/>
      <c r="E72" s="15" t="s">
        <v>1001</v>
      </c>
      <c r="F72" s="121">
        <v>289750</v>
      </c>
      <c r="G72" s="16" t="s">
        <v>5</v>
      </c>
      <c r="H72" s="121">
        <f>IF(Test[[#This Row],[Currency]]="USD",-Test[[#This Row],[Amount]],-Test[[#This Row],[Amount]]/Currency)</f>
        <v>-193.16666666666666</v>
      </c>
    </row>
    <row r="73" spans="2:10" x14ac:dyDescent="0.2">
      <c r="B73" s="13">
        <v>44065</v>
      </c>
      <c r="C73" s="14" t="s">
        <v>1000</v>
      </c>
      <c r="D73" s="14"/>
      <c r="E73" s="15" t="s">
        <v>1002</v>
      </c>
      <c r="F73" s="121">
        <v>157251</v>
      </c>
      <c r="G73" s="16" t="s">
        <v>5</v>
      </c>
      <c r="H73" s="121">
        <f>IF(Test[[#This Row],[Currency]]="USD",-Test[[#This Row],[Amount]],-Test[[#This Row],[Amount]]/Currency)</f>
        <v>-104.834</v>
      </c>
    </row>
    <row r="74" spans="2:10" x14ac:dyDescent="0.2">
      <c r="B74" s="13">
        <v>43931</v>
      </c>
      <c r="C74" s="14" t="s">
        <v>298</v>
      </c>
      <c r="D74" s="14"/>
      <c r="E74" s="15" t="s">
        <v>1011</v>
      </c>
      <c r="F74" s="121">
        <v>3651050</v>
      </c>
      <c r="G74" s="16" t="s">
        <v>5</v>
      </c>
      <c r="H74" s="121">
        <f>IF(Test[[#This Row],[Currency]]="USD",-Test[[#This Row],[Amount]],-Test[[#This Row],[Amount]]/Currency)</f>
        <v>-2434.0333333333333</v>
      </c>
    </row>
    <row r="75" spans="2:10" x14ac:dyDescent="0.2">
      <c r="B75" s="13">
        <v>43992</v>
      </c>
      <c r="C75" s="14" t="s">
        <v>298</v>
      </c>
      <c r="D75" s="14"/>
      <c r="E75" s="15" t="s">
        <v>1012</v>
      </c>
      <c r="F75" s="121">
        <v>611916</v>
      </c>
      <c r="G75" s="16" t="s">
        <v>5</v>
      </c>
      <c r="H75" s="121">
        <f>IF(Test[[#This Row],[Currency]]="USD",-Test[[#This Row],[Amount]],-Test[[#This Row],[Amount]]/Currency)</f>
        <v>-407.94400000000002</v>
      </c>
    </row>
    <row r="76" spans="2:10" x14ac:dyDescent="0.2">
      <c r="B76" s="13">
        <v>44022</v>
      </c>
      <c r="C76" s="14" t="s">
        <v>298</v>
      </c>
      <c r="D76" s="14"/>
      <c r="E76" s="15" t="s">
        <v>1013</v>
      </c>
      <c r="F76" s="121">
        <v>1590775</v>
      </c>
      <c r="G76" s="16" t="s">
        <v>5</v>
      </c>
      <c r="H76" s="121">
        <f>IF(Test[[#This Row],[Currency]]="USD",-Test[[#This Row],[Amount]],-Test[[#This Row],[Amount]]/Currency)</f>
        <v>-1060.5166666666667</v>
      </c>
    </row>
    <row r="77" spans="2:10" x14ac:dyDescent="0.2">
      <c r="B77" s="13">
        <v>44022</v>
      </c>
      <c r="C77" s="14" t="s">
        <v>298</v>
      </c>
      <c r="D77" s="14"/>
      <c r="E77" s="15" t="s">
        <v>1014</v>
      </c>
      <c r="F77" s="121">
        <v>372386</v>
      </c>
      <c r="G77" s="16" t="s">
        <v>5</v>
      </c>
      <c r="H77" s="121">
        <f>IF(Test[[#This Row],[Currency]]="USD",-Test[[#This Row],[Amount]],-Test[[#This Row],[Amount]]/Currency)</f>
        <v>-248.25733333333332</v>
      </c>
    </row>
    <row r="78" spans="2:10" x14ac:dyDescent="0.2">
      <c r="B78" s="13">
        <v>44062</v>
      </c>
      <c r="C78" s="14" t="s">
        <v>1212</v>
      </c>
      <c r="D78" s="14"/>
      <c r="E78" s="15" t="s">
        <v>1008</v>
      </c>
      <c r="F78" s="121">
        <v>264800</v>
      </c>
      <c r="G78" s="16" t="s">
        <v>5</v>
      </c>
      <c r="H78" s="121">
        <f>IF(Test[[#This Row],[Currency]]="USD",-Test[[#This Row],[Amount]],-Test[[#This Row],[Amount]]/Currency)</f>
        <v>-176.53333333333333</v>
      </c>
    </row>
    <row r="79" spans="2:10" x14ac:dyDescent="0.2">
      <c r="B79" s="13">
        <v>44039</v>
      </c>
      <c r="C79" s="14"/>
      <c r="D79" s="14"/>
      <c r="E79" s="15" t="s">
        <v>1016</v>
      </c>
      <c r="F79" s="121">
        <v>55.23</v>
      </c>
      <c r="G79" s="16" t="s">
        <v>6</v>
      </c>
      <c r="H79" s="121">
        <f>IF(Test[[#This Row],[Currency]]="USD",-Test[[#This Row],[Amount]],-Test[[#This Row],[Amount]]/Currency)</f>
        <v>-55.23</v>
      </c>
    </row>
    <row r="80" spans="2:10" x14ac:dyDescent="0.2">
      <c r="B80" s="13">
        <v>44112</v>
      </c>
      <c r="C80" s="14" t="s">
        <v>46</v>
      </c>
      <c r="D80" s="14"/>
      <c r="E80" s="15" t="s">
        <v>1097</v>
      </c>
      <c r="F80" s="121">
        <v>3531</v>
      </c>
      <c r="G80" s="16" t="s">
        <v>6</v>
      </c>
      <c r="H80" s="121">
        <f>IF(Test[[#This Row],[Currency]]="USD",-Test[[#This Row],[Amount]],-Test[[#This Row],[Amount]]/Currency)</f>
        <v>-3531</v>
      </c>
      <c r="J80" s="149"/>
    </row>
    <row r="81" spans="2:11" x14ac:dyDescent="0.2">
      <c r="B81" s="13">
        <v>44108</v>
      </c>
      <c r="C81" s="14" t="s">
        <v>9</v>
      </c>
      <c r="D81" s="14" t="s">
        <v>1036</v>
      </c>
      <c r="E81" s="15" t="s">
        <v>1038</v>
      </c>
      <c r="F81" s="21">
        <f>9780.75-3000</f>
        <v>6780.75</v>
      </c>
      <c r="G81" s="16" t="s">
        <v>6</v>
      </c>
      <c r="H81" s="21">
        <f>IF(Test[[#This Row],[Currency]]="USD",-Test[[#This Row],[Amount]],-Test[[#This Row],[Amount]]/Currency)</f>
        <v>-6780.75</v>
      </c>
    </row>
    <row r="82" spans="2:11" x14ac:dyDescent="0.2">
      <c r="B82" s="13">
        <v>44005</v>
      </c>
      <c r="C82" s="14" t="s">
        <v>1039</v>
      </c>
      <c r="D82" s="14" t="s">
        <v>873</v>
      </c>
      <c r="E82" s="15" t="s">
        <v>1040</v>
      </c>
      <c r="F82" s="21">
        <v>2220</v>
      </c>
      <c r="G82" s="16" t="s">
        <v>6</v>
      </c>
      <c r="H82" s="21">
        <f>IF(Test[[#This Row],[Currency]]="USD",-Test[[#This Row],[Amount]],-Test[[#This Row],[Amount]]/Currency)</f>
        <v>-2220</v>
      </c>
    </row>
    <row r="83" spans="2:11" x14ac:dyDescent="0.2">
      <c r="B83" s="13">
        <v>44148</v>
      </c>
      <c r="C83" s="14" t="s">
        <v>1041</v>
      </c>
      <c r="D83" s="14" t="s">
        <v>813</v>
      </c>
      <c r="E83" s="15" t="s">
        <v>827</v>
      </c>
      <c r="F83" s="21">
        <v>375000</v>
      </c>
      <c r="G83" s="16" t="s">
        <v>5</v>
      </c>
      <c r="H83" s="21">
        <f>IF(Test[[#This Row],[Currency]]="USD",-Test[[#This Row],[Amount]],-Test[[#This Row],[Amount]]/Currency)</f>
        <v>-250</v>
      </c>
    </row>
    <row r="84" spans="2:11" x14ac:dyDescent="0.2">
      <c r="B84" s="13">
        <v>44148</v>
      </c>
      <c r="C84" s="14" t="s">
        <v>279</v>
      </c>
      <c r="D84" s="14" t="s">
        <v>813</v>
      </c>
      <c r="E84" s="15" t="s">
        <v>827</v>
      </c>
      <c r="F84" s="21">
        <v>250000</v>
      </c>
      <c r="G84" s="16" t="s">
        <v>5</v>
      </c>
      <c r="H84" s="21">
        <f>IF(Test[[#This Row],[Currency]]="USD",-Test[[#This Row],[Amount]],-Test[[#This Row],[Amount]]/Currency)</f>
        <v>-166.66666666666666</v>
      </c>
    </row>
    <row r="85" spans="2:11" x14ac:dyDescent="0.2">
      <c r="B85" s="13">
        <v>44124</v>
      </c>
      <c r="C85" s="14"/>
      <c r="D85" s="14"/>
      <c r="E85" s="15" t="s">
        <v>1075</v>
      </c>
      <c r="F85" s="158">
        <f>2*1210</f>
        <v>2420</v>
      </c>
      <c r="G85" s="16" t="s">
        <v>6</v>
      </c>
      <c r="H85" s="158">
        <f>IF(Test[[#This Row],[Currency]]="USD",-Test[[#This Row],[Amount]],-Test[[#This Row],[Amount]]/Currency)</f>
        <v>-2420</v>
      </c>
    </row>
    <row r="86" spans="2:11" x14ac:dyDescent="0.2">
      <c r="B86" s="13">
        <v>44183</v>
      </c>
      <c r="C86" s="14"/>
      <c r="D86" s="14" t="s">
        <v>1183</v>
      </c>
      <c r="E86" s="15" t="s">
        <v>1184</v>
      </c>
      <c r="F86" s="77">
        <v>480500</v>
      </c>
      <c r="G86" s="16" t="s">
        <v>5</v>
      </c>
      <c r="H86" s="21">
        <f>IF(Test[[#This Row],[Currency]]="USD",-Test[[#This Row],[Amount]],-Test[[#This Row],[Amount]]/Currency)</f>
        <v>-320.33333333333331</v>
      </c>
      <c r="J86" s="3" t="s">
        <v>1236</v>
      </c>
    </row>
    <row r="87" spans="2:11" x14ac:dyDescent="0.2">
      <c r="B87" s="13">
        <v>44187</v>
      </c>
      <c r="C87" s="14"/>
      <c r="D87" s="14" t="s">
        <v>650</v>
      </c>
      <c r="E87" s="15" t="s">
        <v>1185</v>
      </c>
      <c r="F87" s="77">
        <v>6400</v>
      </c>
      <c r="G87" s="16" t="s">
        <v>5</v>
      </c>
      <c r="H87" s="21">
        <f>IF(Test[[#This Row],[Currency]]="USD",-Test[[#This Row],[Amount]],-Test[[#This Row],[Amount]]/Currency)</f>
        <v>-4.2666666666666666</v>
      </c>
      <c r="J87" s="3" t="s">
        <v>1236</v>
      </c>
    </row>
    <row r="88" spans="2:11" x14ac:dyDescent="0.2">
      <c r="B88" s="13">
        <v>44187</v>
      </c>
      <c r="C88" s="14"/>
      <c r="D88" s="14" t="s">
        <v>1186</v>
      </c>
      <c r="E88" s="15" t="s">
        <v>1189</v>
      </c>
      <c r="F88" s="77">
        <v>4300</v>
      </c>
      <c r="G88" s="16" t="s">
        <v>5</v>
      </c>
      <c r="H88" s="21">
        <f>IF(Test[[#This Row],[Currency]]="USD",-Test[[#This Row],[Amount]],-Test[[#This Row],[Amount]]/Currency)</f>
        <v>-2.8666666666666667</v>
      </c>
      <c r="J88" s="3" t="s">
        <v>1236</v>
      </c>
    </row>
    <row r="89" spans="2:11" x14ac:dyDescent="0.2">
      <c r="B89" s="13">
        <v>44187</v>
      </c>
      <c r="C89" s="14"/>
      <c r="D89" s="14" t="s">
        <v>1187</v>
      </c>
      <c r="E89" s="15" t="s">
        <v>1188</v>
      </c>
      <c r="F89" s="77">
        <v>65800</v>
      </c>
      <c r="G89" s="16" t="s">
        <v>5</v>
      </c>
      <c r="H89" s="21">
        <f>IF(Test[[#This Row],[Currency]]="USD",-Test[[#This Row],[Amount]],-Test[[#This Row],[Amount]]/Currency)</f>
        <v>-43.866666666666667</v>
      </c>
      <c r="J89" s="3" t="s">
        <v>1236</v>
      </c>
    </row>
    <row r="90" spans="2:11" x14ac:dyDescent="0.2">
      <c r="B90" s="13">
        <v>44193</v>
      </c>
      <c r="C90" s="14" t="s">
        <v>1198</v>
      </c>
      <c r="D90" s="14" t="s">
        <v>1157</v>
      </c>
      <c r="E90" s="15" t="s">
        <v>1199</v>
      </c>
      <c r="F90" s="193">
        <v>1000</v>
      </c>
      <c r="G90" s="16" t="s">
        <v>6</v>
      </c>
      <c r="H90" s="192">
        <f>IF(Test[[#This Row],[Currency]]="USD",-Test[[#This Row],[Amount]],-Test[[#This Row],[Amount]]/Currency)</f>
        <v>-1000</v>
      </c>
    </row>
    <row r="91" spans="2:11" x14ac:dyDescent="0.2">
      <c r="B91" s="13">
        <v>44168</v>
      </c>
      <c r="C91" s="14"/>
      <c r="D91" s="14"/>
      <c r="E91" s="15" t="s">
        <v>1200</v>
      </c>
      <c r="F91" s="192">
        <v>517640</v>
      </c>
      <c r="G91" s="16" t="s">
        <v>5</v>
      </c>
      <c r="H91" s="192">
        <f>IF(Test[[#This Row],[Currency]]="USD",-Test[[#This Row],[Amount]],-Test[[#This Row],[Amount]]/Currency)</f>
        <v>-345.09333333333331</v>
      </c>
    </row>
    <row r="92" spans="2:11" x14ac:dyDescent="0.2">
      <c r="B92" s="13">
        <v>44180</v>
      </c>
      <c r="C92" s="14" t="s">
        <v>298</v>
      </c>
      <c r="D92" s="14" t="s">
        <v>1203</v>
      </c>
      <c r="E92" s="15" t="s">
        <v>1204</v>
      </c>
      <c r="F92" s="192">
        <v>150000</v>
      </c>
      <c r="G92" s="16" t="s">
        <v>5</v>
      </c>
      <c r="H92" s="192">
        <f>IF(Test[[#This Row],[Currency]]="USD",-Test[[#This Row],[Amount]],-Test[[#This Row],[Amount]]/Currency)</f>
        <v>-100</v>
      </c>
    </row>
    <row r="93" spans="2:11" x14ac:dyDescent="0.2">
      <c r="B93" s="13">
        <v>44189</v>
      </c>
      <c r="C93" s="14" t="s">
        <v>1213</v>
      </c>
      <c r="D93" s="14"/>
      <c r="E93" s="15" t="s">
        <v>1214</v>
      </c>
      <c r="F93" s="192">
        <v>1300000</v>
      </c>
      <c r="G93" s="16" t="s">
        <v>5</v>
      </c>
      <c r="H93" s="192">
        <f>IF(Test[[#This Row],[Currency]]="USD",-Test[[#This Row],[Amount]],-Test[[#This Row],[Amount]]/Currency)</f>
        <v>-866.66666666666663</v>
      </c>
    </row>
    <row r="94" spans="2:11" x14ac:dyDescent="0.2">
      <c r="B94" s="13">
        <v>44189</v>
      </c>
      <c r="C94" s="14" t="s">
        <v>1213</v>
      </c>
      <c r="D94" s="14"/>
      <c r="E94" s="15" t="s">
        <v>1215</v>
      </c>
      <c r="F94" s="192">
        <v>7640000</v>
      </c>
      <c r="G94" s="16" t="s">
        <v>5</v>
      </c>
      <c r="H94" s="192">
        <f>IF(Test[[#This Row],[Currency]]="USD",-Test[[#This Row],[Amount]],-Test[[#This Row],[Amount]]/Currency)</f>
        <v>-5093.333333333333</v>
      </c>
      <c r="J94" s="3">
        <v>1651842</v>
      </c>
      <c r="K94" t="s">
        <v>1234</v>
      </c>
    </row>
    <row r="95" spans="2:11" x14ac:dyDescent="0.2">
      <c r="B95" s="13">
        <v>44183</v>
      </c>
      <c r="C95" s="14"/>
      <c r="D95" s="14" t="s">
        <v>650</v>
      </c>
      <c r="E95" s="15" t="s">
        <v>1224</v>
      </c>
      <c r="F95" s="192">
        <v>680000</v>
      </c>
      <c r="G95" s="16" t="s">
        <v>5</v>
      </c>
      <c r="H95" s="192">
        <f>IF(Test[[#This Row],[Currency]]="USD",-Test[[#This Row],[Amount]],-Test[[#This Row],[Amount]]/Currency)</f>
        <v>-453.33333333333331</v>
      </c>
    </row>
    <row r="96" spans="2:11" x14ac:dyDescent="0.2">
      <c r="B96" s="13">
        <v>44077</v>
      </c>
      <c r="C96" s="14" t="s">
        <v>1000</v>
      </c>
      <c r="D96" s="14"/>
      <c r="E96" s="15" t="s">
        <v>1225</v>
      </c>
      <c r="F96" s="192">
        <v>101800</v>
      </c>
      <c r="G96" s="16" t="s">
        <v>5</v>
      </c>
      <c r="H96" s="192">
        <f>IF(Test[[#This Row],[Currency]]="USD",-Test[[#This Row],[Amount]],-Test[[#This Row],[Amount]]/Currency)</f>
        <v>-67.86666666666666</v>
      </c>
    </row>
    <row r="97" spans="2:8" x14ac:dyDescent="0.2">
      <c r="B97" s="13">
        <v>44090</v>
      </c>
      <c r="C97" s="14" t="s">
        <v>1000</v>
      </c>
      <c r="D97" s="14"/>
      <c r="E97" s="15" t="s">
        <v>1226</v>
      </c>
      <c r="F97" s="192">
        <v>108275</v>
      </c>
      <c r="G97" s="16" t="s">
        <v>5</v>
      </c>
      <c r="H97" s="192">
        <f>IF(Test[[#This Row],[Currency]]="USD",-Test[[#This Row],[Amount]],-Test[[#This Row],[Amount]]/Currency)</f>
        <v>-72.183333333333337</v>
      </c>
    </row>
    <row r="98" spans="2:8" x14ac:dyDescent="0.2">
      <c r="B98" s="13">
        <v>44128</v>
      </c>
      <c r="C98" s="14" t="s">
        <v>1000</v>
      </c>
      <c r="D98" s="14"/>
      <c r="E98" s="15" t="s">
        <v>1227</v>
      </c>
      <c r="F98" s="192">
        <v>132950</v>
      </c>
      <c r="G98" s="16" t="s">
        <v>5</v>
      </c>
      <c r="H98" s="192">
        <f>IF(Test[[#This Row],[Currency]]="USD",-Test[[#This Row],[Amount]],-Test[[#This Row],[Amount]]/Currency)</f>
        <v>-88.63333333333334</v>
      </c>
    </row>
    <row r="99" spans="2:8" x14ac:dyDescent="0.2">
      <c r="B99" s="13">
        <v>44141</v>
      </c>
      <c r="C99" s="14" t="s">
        <v>1000</v>
      </c>
      <c r="D99" s="14"/>
      <c r="E99" s="15" t="s">
        <v>1228</v>
      </c>
      <c r="F99" s="192">
        <v>105384</v>
      </c>
      <c r="G99" s="16" t="s">
        <v>5</v>
      </c>
      <c r="H99" s="192">
        <f>IF(Test[[#This Row],[Currency]]="USD",-Test[[#This Row],[Amount]],-Test[[#This Row],[Amount]]/Currency)</f>
        <v>-70.256</v>
      </c>
    </row>
    <row r="100" spans="2:8" x14ac:dyDescent="0.2">
      <c r="B100" s="13">
        <v>44160</v>
      </c>
      <c r="C100" s="14" t="s">
        <v>1000</v>
      </c>
      <c r="D100" s="14"/>
      <c r="E100" s="15" t="s">
        <v>1229</v>
      </c>
      <c r="F100" s="192">
        <v>164225</v>
      </c>
      <c r="G100" s="16" t="s">
        <v>5</v>
      </c>
      <c r="H100" s="192">
        <f>IF(Test[[#This Row],[Currency]]="USD",-Test[[#This Row],[Amount]],-Test[[#This Row],[Amount]]/Currency)</f>
        <v>-109.48333333333333</v>
      </c>
    </row>
    <row r="101" spans="2:8" x14ac:dyDescent="0.2">
      <c r="B101" s="13">
        <v>44180</v>
      </c>
      <c r="C101" s="14" t="s">
        <v>1000</v>
      </c>
      <c r="D101" s="14"/>
      <c r="E101" s="15" t="s">
        <v>1230</v>
      </c>
      <c r="F101" s="192">
        <v>137850</v>
      </c>
      <c r="G101" s="16" t="s">
        <v>5</v>
      </c>
      <c r="H101" s="192">
        <f>IF(Test[[#This Row],[Currency]]="USD",-Test[[#This Row],[Amount]],-Test[[#This Row],[Amount]]/Currency)</f>
        <v>-91.9</v>
      </c>
    </row>
    <row r="102" spans="2:8" x14ac:dyDescent="0.2">
      <c r="B102" s="13">
        <v>44165</v>
      </c>
      <c r="C102" s="14" t="s">
        <v>46</v>
      </c>
      <c r="D102" s="14"/>
      <c r="E102" s="15" t="s">
        <v>1231</v>
      </c>
      <c r="F102" s="192">
        <v>350</v>
      </c>
      <c r="G102" s="16" t="s">
        <v>6</v>
      </c>
      <c r="H102" s="192">
        <f>IF(Test[[#This Row],[Currency]]="USD",-Test[[#This Row],[Amount]],-Test[[#This Row],[Amount]]/Currency)</f>
        <v>-350</v>
      </c>
    </row>
    <row r="103" spans="2:8" x14ac:dyDescent="0.2">
      <c r="B103" s="13">
        <v>44189</v>
      </c>
      <c r="C103" s="14" t="s">
        <v>46</v>
      </c>
      <c r="D103" s="14"/>
      <c r="E103" s="15" t="s">
        <v>1232</v>
      </c>
      <c r="F103" s="192">
        <v>36000</v>
      </c>
      <c r="G103" s="16" t="s">
        <v>5</v>
      </c>
      <c r="H103" s="192">
        <f>IF(Test[[#This Row],[Currency]]="USD",-Test[[#This Row],[Amount]],-Test[[#This Row],[Amount]]/Currency)</f>
        <v>-24</v>
      </c>
    </row>
    <row r="104" spans="2:8" x14ac:dyDescent="0.2">
      <c r="B104" s="13">
        <v>44189</v>
      </c>
      <c r="C104" s="14"/>
      <c r="D104" s="14" t="s">
        <v>1186</v>
      </c>
      <c r="E104" s="15" t="s">
        <v>1235</v>
      </c>
      <c r="F104" s="78">
        <v>42800</v>
      </c>
      <c r="G104" s="16" t="s">
        <v>5</v>
      </c>
      <c r="H104" s="21">
        <f>IF(Test[[#This Row],[Currency]]="USD",-Test[[#This Row],[Amount]],-Test[[#This Row],[Amount]]/Currency)</f>
        <v>-28.533333333333335</v>
      </c>
    </row>
    <row r="105" spans="2:8" x14ac:dyDescent="0.2">
      <c r="B105" s="13">
        <v>44188</v>
      </c>
      <c r="C105" s="14"/>
      <c r="D105" s="14"/>
      <c r="E105" s="15" t="s">
        <v>615</v>
      </c>
      <c r="F105" s="78">
        <v>8625</v>
      </c>
      <c r="G105" s="16" t="s">
        <v>5</v>
      </c>
      <c r="H105" s="21">
        <f>IF(Test[[#This Row],[Currency]]="USD",-Test[[#This Row],[Amount]],-Test[[#This Row],[Amount]]/Currency)</f>
        <v>-5.75</v>
      </c>
    </row>
    <row r="106" spans="2:8" x14ac:dyDescent="0.2">
      <c r="B106" s="13">
        <v>44188</v>
      </c>
      <c r="C106" s="14"/>
      <c r="D106" s="14"/>
      <c r="E106" s="15" t="s">
        <v>900</v>
      </c>
      <c r="F106" s="78">
        <v>112400</v>
      </c>
      <c r="G106" s="16" t="s">
        <v>5</v>
      </c>
      <c r="H106" s="21">
        <f>IF(Test[[#This Row],[Currency]]="USD",-Test[[#This Row],[Amount]],-Test[[#This Row],[Amount]]/Currency)</f>
        <v>-74.933333333333337</v>
      </c>
    </row>
    <row r="107" spans="2:8" x14ac:dyDescent="0.2">
      <c r="B107" s="13">
        <v>44213</v>
      </c>
      <c r="C107" s="14" t="s">
        <v>9</v>
      </c>
      <c r="D107" s="14" t="s">
        <v>1237</v>
      </c>
      <c r="E107" s="15" t="s">
        <v>1238</v>
      </c>
      <c r="F107" s="21">
        <v>183.75</v>
      </c>
      <c r="G107" s="16" t="s">
        <v>6</v>
      </c>
      <c r="H107" s="21">
        <f>IF(Test[[#This Row],[Currency]]="USD",-Test[[#This Row],[Amount]],-Test[[#This Row],[Amount]]/Currency)</f>
        <v>-183.75</v>
      </c>
    </row>
    <row r="108" spans="2:8" x14ac:dyDescent="0.2">
      <c r="B108" s="13">
        <v>44213</v>
      </c>
      <c r="C108" s="14" t="s">
        <v>9</v>
      </c>
      <c r="D108" s="14" t="s">
        <v>1237</v>
      </c>
      <c r="E108" s="15" t="s">
        <v>1238</v>
      </c>
      <c r="F108" s="21">
        <v>620.03</v>
      </c>
      <c r="G108" s="16" t="s">
        <v>6</v>
      </c>
      <c r="H108" s="21">
        <f>IF(Test[[#This Row],[Currency]]="USD",-Test[[#This Row],[Amount]],-Test[[#This Row],[Amount]]/Currency)</f>
        <v>-620.03</v>
      </c>
    </row>
    <row r="109" spans="2:8" x14ac:dyDescent="0.2">
      <c r="B109" s="13">
        <v>44189</v>
      </c>
      <c r="C109" s="14" t="s">
        <v>9</v>
      </c>
      <c r="D109" s="14" t="s">
        <v>1157</v>
      </c>
      <c r="E109" s="15" t="s">
        <v>1240</v>
      </c>
      <c r="F109" s="21">
        <v>5386.5</v>
      </c>
      <c r="G109" s="16" t="s">
        <v>6</v>
      </c>
      <c r="H109" s="21">
        <f>IF(Test[[#This Row],[Currency]]="USD",-Test[[#This Row],[Amount]],-Test[[#This Row],[Amount]]/Currency)</f>
        <v>-5386.5</v>
      </c>
    </row>
    <row r="110" spans="2:8" x14ac:dyDescent="0.2">
      <c r="B110" s="13">
        <v>44197</v>
      </c>
      <c r="C110" s="14" t="s">
        <v>9</v>
      </c>
      <c r="D110" s="14" t="s">
        <v>1161</v>
      </c>
      <c r="E110" s="15" t="s">
        <v>827</v>
      </c>
      <c r="F110" s="21">
        <v>232485.02</v>
      </c>
      <c r="G110" s="16" t="s">
        <v>5</v>
      </c>
      <c r="H110" s="21">
        <f>IF(Test[[#This Row],[Currency]]="USD",-Test[[#This Row],[Amount]],-Test[[#This Row],[Amount]]/Currency)</f>
        <v>-154.99001333333334</v>
      </c>
    </row>
    <row r="111" spans="2:8" x14ac:dyDescent="0.2">
      <c r="B111" s="13">
        <v>44199</v>
      </c>
      <c r="C111" s="14" t="s">
        <v>9</v>
      </c>
      <c r="D111" s="14" t="s">
        <v>1239</v>
      </c>
      <c r="E111" s="15" t="s">
        <v>827</v>
      </c>
      <c r="F111" s="21">
        <v>800761.5</v>
      </c>
      <c r="G111" s="16" t="s">
        <v>5</v>
      </c>
      <c r="H111" s="21">
        <f>IF(Test[[#This Row],[Currency]]="USD",-Test[[#This Row],[Amount]],-Test[[#This Row],[Amount]]/Currency)</f>
        <v>-533.84100000000001</v>
      </c>
    </row>
    <row r="112" spans="2:8" x14ac:dyDescent="0.2">
      <c r="B112" s="13">
        <v>44199</v>
      </c>
      <c r="C112" s="14" t="s">
        <v>9</v>
      </c>
      <c r="D112" s="14" t="s">
        <v>1161</v>
      </c>
      <c r="E112" s="15" t="s">
        <v>827</v>
      </c>
      <c r="F112" s="21">
        <v>1849650.05</v>
      </c>
      <c r="G112" s="16" t="s">
        <v>5</v>
      </c>
      <c r="H112" s="21">
        <f>IF(Test[[#This Row],[Currency]]="USD",-Test[[#This Row],[Amount]],-Test[[#This Row],[Amount]]/Currency)</f>
        <v>-1233.1000333333334</v>
      </c>
    </row>
    <row r="113" spans="2:8" x14ac:dyDescent="0.2">
      <c r="B113" s="13">
        <v>44206</v>
      </c>
      <c r="C113" s="14" t="s">
        <v>9</v>
      </c>
      <c r="D113" s="14" t="s">
        <v>1161</v>
      </c>
      <c r="E113" s="15" t="s">
        <v>827</v>
      </c>
      <c r="F113" s="21">
        <v>209236.49</v>
      </c>
      <c r="G113" s="16" t="s">
        <v>5</v>
      </c>
      <c r="H113" s="21">
        <f>IF(Test[[#This Row],[Currency]]="USD",-Test[[#This Row],[Amount]],-Test[[#This Row],[Amount]]/Currency)</f>
        <v>-139.49099333333334</v>
      </c>
    </row>
    <row r="114" spans="2:8" x14ac:dyDescent="0.2">
      <c r="B114" s="13">
        <v>44203</v>
      </c>
      <c r="C114" s="14" t="s">
        <v>9</v>
      </c>
      <c r="D114" s="14" t="s">
        <v>1161</v>
      </c>
      <c r="E114" s="15" t="s">
        <v>827</v>
      </c>
      <c r="F114" s="21">
        <v>319799.96999999997</v>
      </c>
      <c r="G114" s="16" t="s">
        <v>5</v>
      </c>
      <c r="H114" s="21">
        <f>IF(Test[[#This Row],[Currency]]="USD",-Test[[#This Row],[Amount]],-Test[[#This Row],[Amount]]/Currency)</f>
        <v>-213.19997999999998</v>
      </c>
    </row>
    <row r="115" spans="2:8" x14ac:dyDescent="0.2">
      <c r="B115" s="13">
        <v>44216</v>
      </c>
      <c r="C115" s="14" t="s">
        <v>9</v>
      </c>
      <c r="D115" s="14" t="s">
        <v>1239</v>
      </c>
      <c r="E115" s="15" t="s">
        <v>827</v>
      </c>
      <c r="F115" s="21">
        <v>532999.94999999995</v>
      </c>
      <c r="G115" s="16" t="s">
        <v>5</v>
      </c>
      <c r="H115" s="21">
        <f>IF(Test[[#This Row],[Currency]]="USD",-Test[[#This Row],[Amount]],-Test[[#This Row],[Amount]]/Currency)</f>
        <v>-355.33329999999995</v>
      </c>
    </row>
    <row r="116" spans="2:8" x14ac:dyDescent="0.2">
      <c r="B116" s="13">
        <v>44216</v>
      </c>
      <c r="C116" s="14" t="s">
        <v>9</v>
      </c>
      <c r="D116" s="14" t="s">
        <v>1239</v>
      </c>
      <c r="E116" s="15" t="s">
        <v>827</v>
      </c>
      <c r="F116" s="21">
        <v>532999.94999999995</v>
      </c>
      <c r="G116" s="16" t="s">
        <v>5</v>
      </c>
      <c r="H116" s="21">
        <f>IF(Test[[#This Row],[Currency]]="USD",-Test[[#This Row],[Amount]],-Test[[#This Row],[Amount]]/Currency)</f>
        <v>-355.33329999999995</v>
      </c>
    </row>
    <row r="117" spans="2:8" x14ac:dyDescent="0.2">
      <c r="B117" s="13">
        <v>44175</v>
      </c>
      <c r="C117" s="14" t="s">
        <v>324</v>
      </c>
      <c r="D117" s="14" t="s">
        <v>650</v>
      </c>
      <c r="E117" s="15" t="s">
        <v>1241</v>
      </c>
      <c r="F117" s="21">
        <f>8188663-5000000</f>
        <v>3188663</v>
      </c>
      <c r="G117" s="16" t="s">
        <v>5</v>
      </c>
      <c r="H117" s="21">
        <f>IF(Test[[#This Row],[Currency]]="USD",-Test[[#This Row],[Amount]],-Test[[#This Row],[Amount]]/Currency)</f>
        <v>-2125.7753333333335</v>
      </c>
    </row>
  </sheetData>
  <phoneticPr fontId="6" type="noConversion"/>
  <dataValidations count="1">
    <dataValidation type="list" allowBlank="1" showInputMessage="1" showErrorMessage="1" sqref="G3" xr:uid="{00000000-0002-0000-0000-000000000000}">
      <formula1>"USD, MMK"</formula1>
    </dataValidation>
  </dataValidations>
  <pageMargins left="0.7" right="0.7" top="0.75" bottom="0.75" header="0.3" footer="0.3"/>
  <pageSetup paperSize="9" scale="57" fitToHeight="0" orientation="landscape" horizontalDpi="0" verticalDpi="0"/>
  <headerFooter>
    <oddHeader>&amp;CQUALITY ASSURANCE TABLE 2 - PAYMENT PLANNING_x000D_VIVABLAST MYANMAR Co. Ltd.</oddHeader>
    <oddFooter>&amp;LQT2 - Payment Planning&amp;RVersion 1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N1163"/>
  <sheetViews>
    <sheetView topLeftCell="A1146" zoomScale="99" workbookViewId="0">
      <selection activeCell="E1167" sqref="E1167"/>
    </sheetView>
  </sheetViews>
  <sheetFormatPr baseColWidth="10" defaultRowHeight="16" x14ac:dyDescent="0.2"/>
  <cols>
    <col min="1" max="1" width="4.33203125" customWidth="1"/>
    <col min="2" max="2" width="11.6640625" customWidth="1"/>
    <col min="3" max="3" width="14.83203125" customWidth="1"/>
    <col min="4" max="5" width="18.33203125" customWidth="1"/>
    <col min="6" max="6" width="46" customWidth="1"/>
    <col min="7" max="7" width="19.1640625" customWidth="1"/>
    <col min="8" max="8" width="14.5" customWidth="1"/>
    <col min="9" max="9" width="20" style="3" customWidth="1"/>
    <col min="11" max="11" width="16" bestFit="1" customWidth="1"/>
    <col min="12" max="12" width="15.1640625" bestFit="1" customWidth="1"/>
  </cols>
  <sheetData>
    <row r="2" spans="2:9" x14ac:dyDescent="0.2">
      <c r="B2" s="5" t="s">
        <v>15</v>
      </c>
      <c r="C2" s="6" t="s">
        <v>14</v>
      </c>
      <c r="D2" s="7" t="s">
        <v>2</v>
      </c>
      <c r="E2" s="7" t="s">
        <v>7</v>
      </c>
      <c r="F2" s="7" t="s">
        <v>3</v>
      </c>
      <c r="G2" s="7" t="s">
        <v>4</v>
      </c>
      <c r="H2" s="7" t="s">
        <v>8</v>
      </c>
      <c r="I2" s="8" t="s">
        <v>13</v>
      </c>
    </row>
    <row r="3" spans="2:9" x14ac:dyDescent="0.2">
      <c r="B3" s="12">
        <v>43678</v>
      </c>
      <c r="C3" s="9">
        <v>43678</v>
      </c>
      <c r="D3" s="10"/>
      <c r="E3" s="10"/>
      <c r="F3" s="11" t="s">
        <v>64</v>
      </c>
      <c r="G3" s="18">
        <f>67600+4300</f>
        <v>71900</v>
      </c>
      <c r="H3" s="18" t="s">
        <v>5</v>
      </c>
      <c r="I3" s="19" t="e">
        <f>IF(Paid[[#This Row],[Currency]]="USD",Paid[[#This Row],[Montant]],Paid[[#This Row],[Montant]]/VLOOKUP(Paid[[#This Row],[Date Paid]],TableCurrencyRate[#All],2,FALSE))</f>
        <v>#N/A</v>
      </c>
    </row>
    <row r="4" spans="2:9" x14ac:dyDescent="0.2">
      <c r="B4" s="12">
        <v>43678</v>
      </c>
      <c r="C4" s="9">
        <v>43678</v>
      </c>
      <c r="D4" s="10"/>
      <c r="E4" s="10"/>
      <c r="F4" s="11" t="s">
        <v>65</v>
      </c>
      <c r="G4" s="18">
        <v>14800</v>
      </c>
      <c r="H4" s="18" t="s">
        <v>5</v>
      </c>
      <c r="I4" s="19" t="e">
        <f>IF(Paid[[#This Row],[Currency]]="USD",Paid[[#This Row],[Montant]],Paid[[#This Row],[Montant]]/VLOOKUP(Paid[[#This Row],[Date Paid]],TableCurrencyRate[#All],2,FALSE))</f>
        <v>#N/A</v>
      </c>
    </row>
    <row r="5" spans="2:9" x14ac:dyDescent="0.2">
      <c r="B5" s="12">
        <v>43679</v>
      </c>
      <c r="C5" s="9">
        <v>43679</v>
      </c>
      <c r="D5" s="10"/>
      <c r="E5" s="10"/>
      <c r="F5" s="11" t="s">
        <v>66</v>
      </c>
      <c r="G5" s="18">
        <v>209622</v>
      </c>
      <c r="H5" s="18" t="s">
        <v>5</v>
      </c>
      <c r="I5" s="19" t="e">
        <f>IF(Paid[[#This Row],[Currency]]="USD",Paid[[#This Row],[Montant]],Paid[[#This Row],[Montant]]/VLOOKUP(Paid[[#This Row],[Date Paid]],TableCurrencyRate[#All],2,FALSE))</f>
        <v>#N/A</v>
      </c>
    </row>
    <row r="6" spans="2:9" x14ac:dyDescent="0.2">
      <c r="B6" s="12">
        <v>43679</v>
      </c>
      <c r="C6" s="9">
        <v>43679</v>
      </c>
      <c r="D6" s="10"/>
      <c r="E6" s="10"/>
      <c r="F6" s="11" t="s">
        <v>67</v>
      </c>
      <c r="G6" s="18">
        <v>19621412</v>
      </c>
      <c r="H6" s="18" t="s">
        <v>5</v>
      </c>
      <c r="I6" s="19" t="e">
        <f>IF(Paid[[#This Row],[Currency]]="USD",Paid[[#This Row],[Montant]],Paid[[#This Row],[Montant]]/VLOOKUP(Paid[[#This Row],[Date Paid]],TableCurrencyRate[#All],2,FALSE))</f>
        <v>#N/A</v>
      </c>
    </row>
    <row r="7" spans="2:9" x14ac:dyDescent="0.2">
      <c r="B7" s="12">
        <v>43686</v>
      </c>
      <c r="C7" s="9">
        <v>43686</v>
      </c>
      <c r="D7" s="10"/>
      <c r="E7" s="10" t="s">
        <v>63</v>
      </c>
      <c r="F7" s="11" t="s">
        <v>172</v>
      </c>
      <c r="G7" s="18">
        <f>228500-14950</f>
        <v>213550</v>
      </c>
      <c r="H7" s="18" t="s">
        <v>5</v>
      </c>
      <c r="I7" s="19" t="e">
        <f>IF(Paid[[#This Row],[Currency]]="USD",Paid[[#This Row],[Montant]],Paid[[#This Row],[Montant]]/VLOOKUP(Paid[[#This Row],[Date Paid]],TableCurrencyRate[#All],2,FALSE))</f>
        <v>#N/A</v>
      </c>
    </row>
    <row r="8" spans="2:9" x14ac:dyDescent="0.2">
      <c r="B8" s="12">
        <v>43687</v>
      </c>
      <c r="C8" s="9">
        <v>43687</v>
      </c>
      <c r="D8" s="10"/>
      <c r="E8" s="10" t="s">
        <v>63</v>
      </c>
      <c r="F8" s="11" t="s">
        <v>173</v>
      </c>
      <c r="G8" s="18">
        <f>120000-16000</f>
        <v>104000</v>
      </c>
      <c r="H8" s="18" t="s">
        <v>5</v>
      </c>
      <c r="I8" s="19" t="e">
        <f>IF(Paid[[#This Row],[Currency]]="USD",Paid[[#This Row],[Montant]],Paid[[#This Row],[Montant]]/VLOOKUP(Paid[[#This Row],[Date Paid]],TableCurrencyRate[#All],2,FALSE))</f>
        <v>#N/A</v>
      </c>
    </row>
    <row r="9" spans="2:9" x14ac:dyDescent="0.2">
      <c r="B9" s="12">
        <v>43691</v>
      </c>
      <c r="C9" s="9">
        <v>43691</v>
      </c>
      <c r="D9" s="10"/>
      <c r="E9" s="10"/>
      <c r="F9" s="11" t="s">
        <v>174</v>
      </c>
      <c r="G9" s="18">
        <v>945</v>
      </c>
      <c r="H9" s="18" t="s">
        <v>6</v>
      </c>
      <c r="I9" s="19">
        <f>IF(Paid[[#This Row],[Currency]]="USD",Paid[[#This Row],[Montant]],Paid[[#This Row],[Montant]]/VLOOKUP(Paid[[#This Row],[Date Paid]],TableCurrencyRate[#All],2,FALSE))</f>
        <v>945</v>
      </c>
    </row>
    <row r="10" spans="2:9" x14ac:dyDescent="0.2">
      <c r="B10" s="12">
        <v>43691</v>
      </c>
      <c r="C10" s="9">
        <v>43691</v>
      </c>
      <c r="D10" s="10"/>
      <c r="E10" s="10"/>
      <c r="F10" s="11" t="s">
        <v>175</v>
      </c>
      <c r="G10" s="18">
        <v>25000</v>
      </c>
      <c r="H10" s="18" t="s">
        <v>5</v>
      </c>
      <c r="I10" s="19" t="e">
        <f>IF(Paid[[#This Row],[Currency]]="USD",Paid[[#This Row],[Montant]],Paid[[#This Row],[Montant]]/VLOOKUP(Paid[[#This Row],[Date Paid]],TableCurrencyRate[#All],2,FALSE))</f>
        <v>#N/A</v>
      </c>
    </row>
    <row r="11" spans="2:9" x14ac:dyDescent="0.2">
      <c r="B11" s="12">
        <v>43691</v>
      </c>
      <c r="C11" s="9">
        <v>43691</v>
      </c>
      <c r="D11" s="10"/>
      <c r="E11" s="10"/>
      <c r="F11" s="11" t="s">
        <v>16</v>
      </c>
      <c r="G11" s="18">
        <f>200000+(107919/2)</f>
        <v>253959.5</v>
      </c>
      <c r="H11" s="18" t="s">
        <v>5</v>
      </c>
      <c r="I11" s="19" t="e">
        <f>IF(Paid[[#This Row],[Currency]]="USD",Paid[[#This Row],[Montant]],Paid[[#This Row],[Montant]]/VLOOKUP(Paid[[#This Row],[Date Paid]],TableCurrencyRate[#All],2,FALSE))</f>
        <v>#N/A</v>
      </c>
    </row>
    <row r="12" spans="2:9" x14ac:dyDescent="0.2">
      <c r="B12" s="12">
        <v>43691</v>
      </c>
      <c r="C12" s="9">
        <v>43691</v>
      </c>
      <c r="D12" s="10"/>
      <c r="E12" s="10"/>
      <c r="F12" s="11" t="s">
        <v>17</v>
      </c>
      <c r="G12" s="18">
        <f>200000+(107919/2)</f>
        <v>253959.5</v>
      </c>
      <c r="H12" s="18" t="s">
        <v>5</v>
      </c>
      <c r="I12" s="19" t="e">
        <f>IF(Paid[[#This Row],[Currency]]="USD",Paid[[#This Row],[Montant]],Paid[[#This Row],[Montant]]/VLOOKUP(Paid[[#This Row],[Date Paid]],TableCurrencyRate[#All],2,FALSE))</f>
        <v>#N/A</v>
      </c>
    </row>
    <row r="13" spans="2:9" x14ac:dyDescent="0.2">
      <c r="B13" s="12">
        <v>43691</v>
      </c>
      <c r="C13" s="9">
        <v>43691</v>
      </c>
      <c r="D13" s="10"/>
      <c r="E13" s="10" t="s">
        <v>60</v>
      </c>
      <c r="F13" s="11" t="s">
        <v>69</v>
      </c>
      <c r="G13" s="18">
        <f>461750+4750</f>
        <v>466500</v>
      </c>
      <c r="H13" s="18" t="s">
        <v>5</v>
      </c>
      <c r="I13" s="19" t="e">
        <f>IF(Paid[[#This Row],[Currency]]="USD",Paid[[#This Row],[Montant]],Paid[[#This Row],[Montant]]/VLOOKUP(Paid[[#This Row],[Date Paid]],TableCurrencyRate[#All],2,FALSE))</f>
        <v>#N/A</v>
      </c>
    </row>
    <row r="14" spans="2:9" x14ac:dyDescent="0.2">
      <c r="B14" s="12">
        <v>43691</v>
      </c>
      <c r="C14" s="9">
        <v>43691</v>
      </c>
      <c r="D14" s="10"/>
      <c r="E14" s="10"/>
      <c r="F14" s="11" t="s">
        <v>176</v>
      </c>
      <c r="G14" s="18">
        <v>1766682</v>
      </c>
      <c r="H14" s="18" t="s">
        <v>5</v>
      </c>
      <c r="I14" s="19" t="e">
        <f>IF(Paid[[#This Row],[Currency]]="USD",Paid[[#This Row],[Montant]],Paid[[#This Row],[Montant]]/VLOOKUP(Paid[[#This Row],[Date Paid]],TableCurrencyRate[#All],2,FALSE))</f>
        <v>#N/A</v>
      </c>
    </row>
    <row r="15" spans="2:9" x14ac:dyDescent="0.2">
      <c r="B15" s="91">
        <v>43692</v>
      </c>
      <c r="C15" s="92">
        <v>43588</v>
      </c>
      <c r="D15" s="93" t="s">
        <v>46</v>
      </c>
      <c r="E15" s="93"/>
      <c r="F15" s="94" t="s">
        <v>49</v>
      </c>
      <c r="G15" s="95">
        <v>175900</v>
      </c>
      <c r="H15" s="16" t="s">
        <v>5</v>
      </c>
      <c r="I15" s="19" t="e">
        <f>IF(Paid[[#This Row],[Currency]]="USD",Paid[[#This Row],[Montant]],Paid[[#This Row],[Montant]]/VLOOKUP(Paid[[#This Row],[Date Paid]],TableCurrencyRate[#All],2,FALSE))</f>
        <v>#N/A</v>
      </c>
    </row>
    <row r="16" spans="2:9" x14ac:dyDescent="0.2">
      <c r="B16" s="12">
        <v>43693</v>
      </c>
      <c r="C16" s="13">
        <v>43686</v>
      </c>
      <c r="D16" s="14"/>
      <c r="E16" s="14"/>
      <c r="F16" s="15" t="s">
        <v>79</v>
      </c>
      <c r="G16" s="21">
        <v>7350</v>
      </c>
      <c r="H16" s="16" t="s">
        <v>5</v>
      </c>
      <c r="I16" s="19" t="e">
        <f>IF(Paid[[#This Row],[Currency]]="USD",Paid[[#This Row],[Montant]],Paid[[#This Row],[Montant]]/VLOOKUP(Paid[[#This Row],[Date Paid]],TableCurrencyRate[#All],2,FALSE))</f>
        <v>#N/A</v>
      </c>
    </row>
    <row r="17" spans="2:9" x14ac:dyDescent="0.2">
      <c r="B17" s="12">
        <v>43693</v>
      </c>
      <c r="C17" s="13">
        <v>43675</v>
      </c>
      <c r="D17" s="14"/>
      <c r="E17" s="14"/>
      <c r="F17" s="15" t="s">
        <v>71</v>
      </c>
      <c r="G17" s="21">
        <f>395000-65600</f>
        <v>329400</v>
      </c>
      <c r="H17" s="16" t="s">
        <v>5</v>
      </c>
      <c r="I17" s="19" t="e">
        <f>IF(Paid[[#This Row],[Currency]]="USD",Paid[[#This Row],[Montant]],Paid[[#This Row],[Montant]]/VLOOKUP(Paid[[#This Row],[Date Paid]],TableCurrencyRate[#All],2,FALSE))</f>
        <v>#N/A</v>
      </c>
    </row>
    <row r="18" spans="2:9" x14ac:dyDescent="0.2">
      <c r="B18" s="12">
        <v>43693</v>
      </c>
      <c r="C18" s="13">
        <v>43685</v>
      </c>
      <c r="D18" s="14"/>
      <c r="E18" s="14"/>
      <c r="F18" s="15" t="s">
        <v>72</v>
      </c>
      <c r="G18" s="21">
        <f>270000-68800</f>
        <v>201200</v>
      </c>
      <c r="H18" s="16" t="s">
        <v>5</v>
      </c>
      <c r="I18" s="19" t="e">
        <f>IF(Paid[[#This Row],[Currency]]="USD",Paid[[#This Row],[Montant]],Paid[[#This Row],[Montant]]/VLOOKUP(Paid[[#This Row],[Date Paid]],TableCurrencyRate[#All],2,FALSE))</f>
        <v>#N/A</v>
      </c>
    </row>
    <row r="19" spans="2:9" x14ac:dyDescent="0.2">
      <c r="B19" s="12">
        <v>43693</v>
      </c>
      <c r="C19" s="13">
        <v>43656</v>
      </c>
      <c r="D19" s="14"/>
      <c r="E19" s="14"/>
      <c r="F19" s="15" t="s">
        <v>70</v>
      </c>
      <c r="G19" s="21">
        <v>2100000</v>
      </c>
      <c r="H19" s="16" t="s">
        <v>5</v>
      </c>
      <c r="I19" s="19" t="e">
        <f>IF(Paid[[#This Row],[Currency]]="USD",Paid[[#This Row],[Montant]],Paid[[#This Row],[Montant]]/VLOOKUP(Paid[[#This Row],[Date Paid]],TableCurrencyRate[#All],2,FALSE))</f>
        <v>#N/A</v>
      </c>
    </row>
    <row r="20" spans="2:9" x14ac:dyDescent="0.2">
      <c r="B20" s="12">
        <v>43693</v>
      </c>
      <c r="C20" s="9">
        <v>43684</v>
      </c>
      <c r="D20" s="10"/>
      <c r="E20" s="10"/>
      <c r="F20" s="11" t="s">
        <v>39</v>
      </c>
      <c r="G20" s="18">
        <f>754000+2500</f>
        <v>756500</v>
      </c>
      <c r="H20" s="18" t="s">
        <v>5</v>
      </c>
      <c r="I20" s="19" t="e">
        <f>IF(Paid[[#This Row],[Currency]]="USD",Paid[[#This Row],[Montant]],Paid[[#This Row],[Montant]]/VLOOKUP(Paid[[#This Row],[Date Paid]],TableCurrencyRate[#All],2,FALSE))</f>
        <v>#N/A</v>
      </c>
    </row>
    <row r="21" spans="2:9" x14ac:dyDescent="0.2">
      <c r="B21" s="12">
        <v>43693</v>
      </c>
      <c r="C21" s="13">
        <v>43640</v>
      </c>
      <c r="D21" s="14"/>
      <c r="E21" s="14"/>
      <c r="F21" s="15" t="s">
        <v>24</v>
      </c>
      <c r="G21" s="21">
        <v>10000</v>
      </c>
      <c r="H21" s="16" t="s">
        <v>5</v>
      </c>
      <c r="I21" s="19" t="e">
        <f>IF(Paid[[#This Row],[Currency]]="USD",Paid[[#This Row],[Montant]],Paid[[#This Row],[Montant]]/VLOOKUP(Paid[[#This Row],[Date Paid]],TableCurrencyRate[#All],2,FALSE))</f>
        <v>#N/A</v>
      </c>
    </row>
    <row r="22" spans="2:9" x14ac:dyDescent="0.2">
      <c r="B22" s="12">
        <v>43693</v>
      </c>
      <c r="C22" s="13">
        <v>43671</v>
      </c>
      <c r="D22" s="14"/>
      <c r="E22" s="14"/>
      <c r="F22" s="15" t="s">
        <v>82</v>
      </c>
      <c r="G22" s="21">
        <v>3000</v>
      </c>
      <c r="H22" s="16" t="s">
        <v>5</v>
      </c>
      <c r="I22" s="19" t="e">
        <f>IF(Paid[[#This Row],[Currency]]="USD",Paid[[#This Row],[Montant]],Paid[[#This Row],[Montant]]/VLOOKUP(Paid[[#This Row],[Date Paid]],TableCurrencyRate[#All],2,FALSE))</f>
        <v>#N/A</v>
      </c>
    </row>
    <row r="23" spans="2:9" x14ac:dyDescent="0.2">
      <c r="B23" s="82">
        <v>43693</v>
      </c>
      <c r="C23" s="83">
        <v>43691</v>
      </c>
      <c r="D23" s="84"/>
      <c r="E23" s="84"/>
      <c r="F23" s="85" t="s">
        <v>77</v>
      </c>
      <c r="G23" s="86">
        <v>700</v>
      </c>
      <c r="H23" s="16" t="s">
        <v>5</v>
      </c>
      <c r="I23" s="19" t="e">
        <f>IF(Paid[[#This Row],[Currency]]="USD",Paid[[#This Row],[Montant]],Paid[[#This Row],[Montant]]/VLOOKUP(Paid[[#This Row],[Date Paid]],TableCurrencyRate[#All],2,FALSE))</f>
        <v>#N/A</v>
      </c>
    </row>
    <row r="24" spans="2:9" x14ac:dyDescent="0.2">
      <c r="B24" s="12">
        <v>43693</v>
      </c>
      <c r="C24" s="13">
        <v>43676</v>
      </c>
      <c r="D24" s="14"/>
      <c r="E24" s="14"/>
      <c r="F24" s="15" t="s">
        <v>74</v>
      </c>
      <c r="G24" s="21">
        <v>600000</v>
      </c>
      <c r="H24" s="16" t="s">
        <v>5</v>
      </c>
      <c r="I24" s="19" t="e">
        <f>IF(Paid[[#This Row],[Currency]]="USD",Paid[[#This Row],[Montant]],Paid[[#This Row],[Montant]]/VLOOKUP(Paid[[#This Row],[Date Paid]],TableCurrencyRate[#All],2,FALSE))</f>
        <v>#N/A</v>
      </c>
    </row>
    <row r="25" spans="2:9" x14ac:dyDescent="0.2">
      <c r="B25" s="57">
        <v>43693</v>
      </c>
      <c r="C25" s="9">
        <v>43676</v>
      </c>
      <c r="D25" s="10"/>
      <c r="E25" s="10"/>
      <c r="F25" s="11" t="s">
        <v>31</v>
      </c>
      <c r="G25" s="18">
        <v>800000</v>
      </c>
      <c r="H25" s="16" t="s">
        <v>5</v>
      </c>
      <c r="I25" s="19" t="e">
        <f>IF(Paid[[#This Row],[Currency]]="USD",Paid[[#This Row],[Montant]],Paid[[#This Row],[Montant]]/VLOOKUP(Paid[[#This Row],[Date Paid]],TableCurrencyRate[#All],2,FALSE))</f>
        <v>#N/A</v>
      </c>
    </row>
    <row r="26" spans="2:9" x14ac:dyDescent="0.2">
      <c r="B26" s="57">
        <v>43693</v>
      </c>
      <c r="C26" s="9">
        <v>43676</v>
      </c>
      <c r="D26" s="10"/>
      <c r="E26" s="10"/>
      <c r="F26" s="11" t="s">
        <v>32</v>
      </c>
      <c r="G26" s="18">
        <v>700000</v>
      </c>
      <c r="H26" s="16" t="s">
        <v>5</v>
      </c>
      <c r="I26" s="19" t="e">
        <f>IF(Paid[[#This Row],[Currency]]="USD",Paid[[#This Row],[Montant]],Paid[[#This Row],[Montant]]/VLOOKUP(Paid[[#This Row],[Date Paid]],TableCurrencyRate[#All],2,FALSE))</f>
        <v>#N/A</v>
      </c>
    </row>
    <row r="27" spans="2:9" x14ac:dyDescent="0.2">
      <c r="B27" s="12">
        <v>43693</v>
      </c>
      <c r="C27" s="13">
        <v>43676</v>
      </c>
      <c r="D27" s="14"/>
      <c r="E27" s="14"/>
      <c r="F27" s="15" t="s">
        <v>33</v>
      </c>
      <c r="G27" s="21">
        <v>700000</v>
      </c>
      <c r="H27" s="16" t="s">
        <v>5</v>
      </c>
      <c r="I27" s="19" t="e">
        <f>IF(Paid[[#This Row],[Currency]]="USD",Paid[[#This Row],[Montant]],Paid[[#This Row],[Montant]]/VLOOKUP(Paid[[#This Row],[Date Paid]],TableCurrencyRate[#All],2,FALSE))</f>
        <v>#N/A</v>
      </c>
    </row>
    <row r="28" spans="2:9" x14ac:dyDescent="0.2">
      <c r="B28" s="12">
        <v>43693</v>
      </c>
      <c r="C28" s="13">
        <v>43676</v>
      </c>
      <c r="D28" s="14"/>
      <c r="E28" s="14"/>
      <c r="F28" s="15" t="s">
        <v>75</v>
      </c>
      <c r="G28" s="21">
        <v>1496400</v>
      </c>
      <c r="H28" s="16" t="s">
        <v>5</v>
      </c>
      <c r="I28" s="19" t="e">
        <f>IF(Paid[[#This Row],[Currency]]="USD",Paid[[#This Row],[Montant]],Paid[[#This Row],[Montant]]/VLOOKUP(Paid[[#This Row],[Date Paid]],TableCurrencyRate[#All],2,FALSE))</f>
        <v>#N/A</v>
      </c>
    </row>
    <row r="29" spans="2:9" x14ac:dyDescent="0.2">
      <c r="B29" s="12">
        <v>43693</v>
      </c>
      <c r="C29" s="9">
        <v>40396</v>
      </c>
      <c r="D29" s="10"/>
      <c r="E29" s="10" t="s">
        <v>63</v>
      </c>
      <c r="F29" s="11" t="s">
        <v>68</v>
      </c>
      <c r="G29" s="18">
        <f>800000-216800</f>
        <v>583200</v>
      </c>
      <c r="H29" s="18" t="s">
        <v>5</v>
      </c>
      <c r="I29" s="19" t="e">
        <f>IF(Paid[[#This Row],[Currency]]="USD",Paid[[#This Row],[Montant]],Paid[[#This Row],[Montant]]/VLOOKUP(Paid[[#This Row],[Date Paid]],TableCurrencyRate[#All],2,FALSE))</f>
        <v>#N/A</v>
      </c>
    </row>
    <row r="30" spans="2:9" x14ac:dyDescent="0.2">
      <c r="B30" s="57">
        <v>43693</v>
      </c>
      <c r="C30" s="9">
        <v>43682</v>
      </c>
      <c r="D30" s="10"/>
      <c r="E30" s="10"/>
      <c r="F30" s="11" t="s">
        <v>83</v>
      </c>
      <c r="G30" s="18">
        <v>500</v>
      </c>
      <c r="H30" s="18" t="s">
        <v>5</v>
      </c>
      <c r="I30" s="19" t="e">
        <f>IF(Paid[[#This Row],[Currency]]="USD",Paid[[#This Row],[Montant]],Paid[[#This Row],[Montant]]/VLOOKUP(Paid[[#This Row],[Date Paid]],TableCurrencyRate[#All],2,FALSE))</f>
        <v>#N/A</v>
      </c>
    </row>
    <row r="31" spans="2:9" x14ac:dyDescent="0.2">
      <c r="B31" s="57">
        <v>43693</v>
      </c>
      <c r="C31" s="9">
        <v>43642</v>
      </c>
      <c r="D31" s="10"/>
      <c r="E31" s="10"/>
      <c r="F31" s="11" t="s">
        <v>51</v>
      </c>
      <c r="G31" s="18">
        <v>20000</v>
      </c>
      <c r="H31" s="18" t="s">
        <v>5</v>
      </c>
      <c r="I31" s="19" t="e">
        <f>IF(Paid[[#This Row],[Currency]]="USD",Paid[[#This Row],[Montant]],Paid[[#This Row],[Montant]]/VLOOKUP(Paid[[#This Row],[Date Paid]],TableCurrencyRate[#All],2,FALSE))</f>
        <v>#N/A</v>
      </c>
    </row>
    <row r="32" spans="2:9" x14ac:dyDescent="0.2">
      <c r="B32" s="57">
        <v>43693</v>
      </c>
      <c r="C32" s="9">
        <v>43642</v>
      </c>
      <c r="D32" s="10"/>
      <c r="E32" s="10"/>
      <c r="F32" s="11" t="s">
        <v>52</v>
      </c>
      <c r="G32" s="18">
        <v>5000</v>
      </c>
      <c r="H32" s="18" t="s">
        <v>5</v>
      </c>
      <c r="I32" s="19" t="e">
        <f>IF(Paid[[#This Row],[Currency]]="USD",Paid[[#This Row],[Montant]],Paid[[#This Row],[Montant]]/VLOOKUP(Paid[[#This Row],[Date Paid]],TableCurrencyRate[#All],2,FALSE))</f>
        <v>#N/A</v>
      </c>
    </row>
    <row r="33" spans="2:9" x14ac:dyDescent="0.2">
      <c r="B33" s="12">
        <v>43693</v>
      </c>
      <c r="C33" s="9">
        <v>43682</v>
      </c>
      <c r="D33" s="10"/>
      <c r="E33" s="10"/>
      <c r="F33" s="11" t="s">
        <v>81</v>
      </c>
      <c r="G33" s="18">
        <v>14050</v>
      </c>
      <c r="H33" s="18" t="s">
        <v>5</v>
      </c>
      <c r="I33" s="19" t="e">
        <f>IF(Paid[[#This Row],[Currency]]="USD",Paid[[#This Row],[Montant]],Paid[[#This Row],[Montant]]/VLOOKUP(Paid[[#This Row],[Date Paid]],TableCurrencyRate[#All],2,FALSE))</f>
        <v>#N/A</v>
      </c>
    </row>
    <row r="34" spans="2:9" x14ac:dyDescent="0.2">
      <c r="B34" s="12">
        <v>43693</v>
      </c>
      <c r="C34" s="9">
        <v>43685</v>
      </c>
      <c r="D34" s="10"/>
      <c r="E34" s="10"/>
      <c r="F34" s="11" t="s">
        <v>78</v>
      </c>
      <c r="G34" s="18">
        <v>1076400</v>
      </c>
      <c r="H34" s="18" t="s">
        <v>5</v>
      </c>
      <c r="I34" s="19" t="e">
        <f>IF(Paid[[#This Row],[Currency]]="USD",Paid[[#This Row],[Montant]],Paid[[#This Row],[Montant]]/VLOOKUP(Paid[[#This Row],[Date Paid]],TableCurrencyRate[#All],2,FALSE))</f>
        <v>#N/A</v>
      </c>
    </row>
    <row r="35" spans="2:9" x14ac:dyDescent="0.2">
      <c r="B35" s="12">
        <v>43693</v>
      </c>
      <c r="C35" s="9">
        <v>43685</v>
      </c>
      <c r="D35" s="10"/>
      <c r="E35" s="10"/>
      <c r="F35" s="11" t="s">
        <v>80</v>
      </c>
      <c r="G35" s="18">
        <v>180000</v>
      </c>
      <c r="H35" s="18" t="s">
        <v>5</v>
      </c>
      <c r="I35" s="19" t="e">
        <f>IF(Paid[[#This Row],[Currency]]="USD",Paid[[#This Row],[Montant]],Paid[[#This Row],[Montant]]/VLOOKUP(Paid[[#This Row],[Date Paid]],TableCurrencyRate[#All],2,FALSE))</f>
        <v>#N/A</v>
      </c>
    </row>
    <row r="36" spans="2:9" x14ac:dyDescent="0.2">
      <c r="B36" s="91">
        <v>43693</v>
      </c>
      <c r="C36" s="92">
        <v>43691</v>
      </c>
      <c r="D36" s="93"/>
      <c r="E36" s="93"/>
      <c r="F36" s="94" t="s">
        <v>76</v>
      </c>
      <c r="G36" s="95">
        <v>6560</v>
      </c>
      <c r="H36" s="18" t="s">
        <v>5</v>
      </c>
      <c r="I36" s="19" t="e">
        <f>IF(Paid[[#This Row],[Currency]]="USD",Paid[[#This Row],[Montant]],Paid[[#This Row],[Montant]]/VLOOKUP(Paid[[#This Row],[Date Paid]],TableCurrencyRate[#All],2,FALSE))</f>
        <v>#N/A</v>
      </c>
    </row>
    <row r="37" spans="2:9" x14ac:dyDescent="0.2">
      <c r="B37" s="57">
        <v>43693</v>
      </c>
      <c r="C37" s="9">
        <v>43678</v>
      </c>
      <c r="D37" s="10"/>
      <c r="E37" s="10"/>
      <c r="F37" s="11" t="s">
        <v>69</v>
      </c>
      <c r="G37" s="18">
        <f>99500+3700</f>
        <v>103200</v>
      </c>
      <c r="H37" s="18" t="s">
        <v>5</v>
      </c>
      <c r="I37" s="19" t="e">
        <f>IF(Paid[[#This Row],[Currency]]="USD",Paid[[#This Row],[Montant]],Paid[[#This Row],[Montant]]/VLOOKUP(Paid[[#This Row],[Date Paid]],TableCurrencyRate[#All],2,FALSE))</f>
        <v>#N/A</v>
      </c>
    </row>
    <row r="38" spans="2:9" x14ac:dyDescent="0.2">
      <c r="B38" s="12">
        <v>43693</v>
      </c>
      <c r="C38" s="9">
        <v>43679</v>
      </c>
      <c r="D38" s="10"/>
      <c r="E38" s="10"/>
      <c r="F38" s="11" t="s">
        <v>36</v>
      </c>
      <c r="G38" s="18">
        <v>40000</v>
      </c>
      <c r="H38" s="18" t="s">
        <v>5</v>
      </c>
      <c r="I38" s="19" t="e">
        <f>IF(Paid[[#This Row],[Currency]]="USD",Paid[[#This Row],[Montant]],Paid[[#This Row],[Montant]]/VLOOKUP(Paid[[#This Row],[Date Paid]],TableCurrencyRate[#All],2,FALSE))</f>
        <v>#N/A</v>
      </c>
    </row>
    <row r="39" spans="2:9" x14ac:dyDescent="0.2">
      <c r="B39" s="57">
        <v>43693</v>
      </c>
      <c r="C39" s="9">
        <v>43682</v>
      </c>
      <c r="D39" s="10"/>
      <c r="E39" s="10"/>
      <c r="F39" s="11" t="s">
        <v>73</v>
      </c>
      <c r="G39" s="18">
        <v>44000</v>
      </c>
      <c r="H39" s="18" t="s">
        <v>5</v>
      </c>
      <c r="I39" s="19" t="e">
        <f>IF(Paid[[#This Row],[Currency]]="USD",Paid[[#This Row],[Montant]],Paid[[#This Row],[Montant]]/VLOOKUP(Paid[[#This Row],[Date Paid]],TableCurrencyRate[#All],2,FALSE))</f>
        <v>#N/A</v>
      </c>
    </row>
    <row r="40" spans="2:9" x14ac:dyDescent="0.2">
      <c r="B40" s="91">
        <v>43693</v>
      </c>
      <c r="C40" s="92">
        <v>43687</v>
      </c>
      <c r="D40" s="93"/>
      <c r="E40" s="93" t="s">
        <v>60</v>
      </c>
      <c r="F40" s="94" t="s">
        <v>69</v>
      </c>
      <c r="G40" s="95">
        <f>1215000-48600</f>
        <v>1166400</v>
      </c>
      <c r="H40" s="18" t="s">
        <v>5</v>
      </c>
      <c r="I40" s="19" t="e">
        <f>IF(Paid[[#This Row],[Currency]]="USD",Paid[[#This Row],[Montant]],Paid[[#This Row],[Montant]]/VLOOKUP(Paid[[#This Row],[Date Paid]],TableCurrencyRate[#All],2,FALSE))</f>
        <v>#N/A</v>
      </c>
    </row>
    <row r="41" spans="2:9" x14ac:dyDescent="0.2">
      <c r="B41" s="57">
        <v>43693</v>
      </c>
      <c r="C41" s="9">
        <v>43691</v>
      </c>
      <c r="D41" s="10"/>
      <c r="E41" s="10"/>
      <c r="F41" s="11" t="s">
        <v>69</v>
      </c>
      <c r="G41" s="18">
        <f>447600-17700</f>
        <v>429900</v>
      </c>
      <c r="H41" s="18" t="s">
        <v>5</v>
      </c>
      <c r="I41" s="19" t="e">
        <f>IF(Paid[[#This Row],[Currency]]="USD",Paid[[#This Row],[Montant]],Paid[[#This Row],[Montant]]/VLOOKUP(Paid[[#This Row],[Date Paid]],TableCurrencyRate[#All],2,FALSE))</f>
        <v>#N/A</v>
      </c>
    </row>
    <row r="42" spans="2:9" x14ac:dyDescent="0.2">
      <c r="B42" s="91">
        <v>43696</v>
      </c>
      <c r="C42" s="92">
        <v>43696</v>
      </c>
      <c r="D42" s="93"/>
      <c r="E42" s="93"/>
      <c r="F42" s="94" t="s">
        <v>35</v>
      </c>
      <c r="G42" s="95">
        <f>270000-113200</f>
        <v>156800</v>
      </c>
      <c r="H42" s="18" t="s">
        <v>5</v>
      </c>
      <c r="I42" s="19" t="e">
        <f>IF(Paid[[#This Row],[Currency]]="USD",Paid[[#This Row],[Montant]],Paid[[#This Row],[Montant]]/VLOOKUP(Paid[[#This Row],[Date Paid]],TableCurrencyRate[#All],2,FALSE))</f>
        <v>#N/A</v>
      </c>
    </row>
    <row r="43" spans="2:9" x14ac:dyDescent="0.2">
      <c r="B43" s="57">
        <v>43696</v>
      </c>
      <c r="C43" s="9">
        <v>43696</v>
      </c>
      <c r="D43" s="10"/>
      <c r="E43" s="10"/>
      <c r="F43" s="11" t="s">
        <v>37</v>
      </c>
      <c r="G43" s="18">
        <f>270000-76600</f>
        <v>193400</v>
      </c>
      <c r="H43" s="18" t="s">
        <v>5</v>
      </c>
      <c r="I43" s="19" t="e">
        <f>IF(Paid[[#This Row],[Currency]]="USD",Paid[[#This Row],[Montant]],Paid[[#This Row],[Montant]]/VLOOKUP(Paid[[#This Row],[Date Paid]],TableCurrencyRate[#All],2,FALSE))</f>
        <v>#N/A</v>
      </c>
    </row>
    <row r="44" spans="2:9" x14ac:dyDescent="0.2">
      <c r="B44" s="12">
        <v>43698</v>
      </c>
      <c r="C44" s="9">
        <v>43698</v>
      </c>
      <c r="D44" s="10"/>
      <c r="E44" s="10"/>
      <c r="F44" s="11" t="s">
        <v>177</v>
      </c>
      <c r="G44" s="18">
        <v>250</v>
      </c>
      <c r="H44" s="18" t="s">
        <v>6</v>
      </c>
      <c r="I44" s="19">
        <f>IF(Paid[[#This Row],[Currency]]="USD",Paid[[#This Row],[Montant]],Paid[[#This Row],[Montant]]/VLOOKUP(Paid[[#This Row],[Date Paid]],TableCurrencyRate[#All],2,FALSE))</f>
        <v>250</v>
      </c>
    </row>
    <row r="45" spans="2:9" x14ac:dyDescent="0.2">
      <c r="B45" s="57">
        <v>43698</v>
      </c>
      <c r="C45" s="9">
        <v>43698</v>
      </c>
      <c r="D45" s="10"/>
      <c r="E45" s="10"/>
      <c r="F45" s="11" t="s">
        <v>179</v>
      </c>
      <c r="G45" s="18">
        <v>64</v>
      </c>
      <c r="H45" s="18" t="s">
        <v>6</v>
      </c>
      <c r="I45" s="19">
        <f>IF(Paid[[#This Row],[Currency]]="USD",Paid[[#This Row],[Montant]],Paid[[#This Row],[Montant]]/VLOOKUP(Paid[[#This Row],[Date Paid]],TableCurrencyRate[#All],2,FALSE))</f>
        <v>64</v>
      </c>
    </row>
    <row r="46" spans="2:9" x14ac:dyDescent="0.2">
      <c r="B46" s="12">
        <v>43698</v>
      </c>
      <c r="C46" s="9">
        <v>43698</v>
      </c>
      <c r="D46" s="10"/>
      <c r="E46" s="10"/>
      <c r="F46" s="11" t="s">
        <v>178</v>
      </c>
      <c r="G46" s="18">
        <v>50</v>
      </c>
      <c r="H46" s="18" t="s">
        <v>6</v>
      </c>
      <c r="I46" s="19">
        <f>IF(Paid[[#This Row],[Currency]]="USD",Paid[[#This Row],[Montant]],Paid[[#This Row],[Montant]]/VLOOKUP(Paid[[#This Row],[Date Paid]],TableCurrencyRate[#All],2,FALSE))</f>
        <v>50</v>
      </c>
    </row>
    <row r="47" spans="2:9" x14ac:dyDescent="0.2">
      <c r="B47" s="12">
        <v>43698</v>
      </c>
      <c r="C47" s="9">
        <v>43698</v>
      </c>
      <c r="D47" s="10"/>
      <c r="E47" s="10"/>
      <c r="F47" s="11" t="s">
        <v>196</v>
      </c>
      <c r="G47" s="18">
        <f>396000-91600</f>
        <v>304400</v>
      </c>
      <c r="H47" s="18" t="s">
        <v>5</v>
      </c>
      <c r="I47" s="19" t="e">
        <f>IF(Paid[[#This Row],[Currency]]="USD",Paid[[#This Row],[Montant]],Paid[[#This Row],[Montant]]/VLOOKUP(Paid[[#This Row],[Date Paid]],TableCurrencyRate[#All],2,FALSE))</f>
        <v>#N/A</v>
      </c>
    </row>
    <row r="48" spans="2:9" x14ac:dyDescent="0.2">
      <c r="B48" s="57">
        <v>43698</v>
      </c>
      <c r="C48" s="9">
        <v>43698</v>
      </c>
      <c r="D48" s="10"/>
      <c r="E48" s="10"/>
      <c r="F48" s="11" t="s">
        <v>180</v>
      </c>
      <c r="G48" s="18">
        <f>345500-38650</f>
        <v>306850</v>
      </c>
      <c r="H48" s="18" t="s">
        <v>5</v>
      </c>
      <c r="I48" s="19" t="e">
        <f>IF(Paid[[#This Row],[Currency]]="USD",Paid[[#This Row],[Montant]],Paid[[#This Row],[Montant]]/VLOOKUP(Paid[[#This Row],[Date Paid]],TableCurrencyRate[#All],2,FALSE))</f>
        <v>#N/A</v>
      </c>
    </row>
    <row r="49" spans="2:9" x14ac:dyDescent="0.2">
      <c r="B49" s="99">
        <v>43699</v>
      </c>
      <c r="C49" s="100">
        <v>43699</v>
      </c>
      <c r="D49" s="101"/>
      <c r="E49" s="101"/>
      <c r="F49" s="102" t="s">
        <v>181</v>
      </c>
      <c r="G49" s="103">
        <v>300</v>
      </c>
      <c r="H49" s="18" t="s">
        <v>6</v>
      </c>
      <c r="I49" s="19">
        <f>IF(Paid[[#This Row],[Currency]]="USD",Paid[[#This Row],[Montant]],Paid[[#This Row],[Montant]]/VLOOKUP(Paid[[#This Row],[Date Paid]],TableCurrencyRate[#All],2,FALSE))</f>
        <v>300</v>
      </c>
    </row>
    <row r="50" spans="2:9" x14ac:dyDescent="0.2">
      <c r="B50" s="186">
        <v>43699</v>
      </c>
      <c r="C50" s="184">
        <v>43699</v>
      </c>
      <c r="D50" s="187"/>
      <c r="E50" s="187"/>
      <c r="F50" s="188" t="s">
        <v>30</v>
      </c>
      <c r="G50" s="189">
        <v>8100</v>
      </c>
      <c r="H50" s="18" t="s">
        <v>6</v>
      </c>
      <c r="I50" s="19">
        <f>IF(Paid[[#This Row],[Currency]]="USD",Paid[[#This Row],[Montant]],Paid[[#This Row],[Montant]]/VLOOKUP(Paid[[#This Row],[Date Paid]],TableCurrencyRate[#All],2,FALSE))</f>
        <v>8100</v>
      </c>
    </row>
    <row r="51" spans="2:9" x14ac:dyDescent="0.2">
      <c r="B51" s="99">
        <v>43700</v>
      </c>
      <c r="C51" s="100">
        <v>43700</v>
      </c>
      <c r="D51" s="101"/>
      <c r="E51" s="101" t="s">
        <v>63</v>
      </c>
      <c r="F51" s="102" t="s">
        <v>182</v>
      </c>
      <c r="G51" s="103">
        <v>104000</v>
      </c>
      <c r="H51" s="18" t="s">
        <v>5</v>
      </c>
      <c r="I51" s="19" t="e">
        <f>IF(Paid[[#This Row],[Currency]]="USD",Paid[[#This Row],[Montant]],Paid[[#This Row],[Montant]]/VLOOKUP(Paid[[#This Row],[Date Paid]],TableCurrencyRate[#All],2,FALSE))</f>
        <v>#N/A</v>
      </c>
    </row>
    <row r="52" spans="2:9" x14ac:dyDescent="0.2">
      <c r="B52" s="99">
        <v>43700</v>
      </c>
      <c r="C52" s="100">
        <v>43697</v>
      </c>
      <c r="D52" s="101"/>
      <c r="E52" s="101"/>
      <c r="F52" s="102" t="s">
        <v>85</v>
      </c>
      <c r="G52" s="103">
        <v>25000</v>
      </c>
      <c r="H52" s="16" t="s">
        <v>5</v>
      </c>
      <c r="I52" s="19" t="e">
        <f>IF(Paid[[#This Row],[Currency]]="USD",Paid[[#This Row],[Montant]],Paid[[#This Row],[Montant]]/VLOOKUP(Paid[[#This Row],[Date Paid]],TableCurrencyRate[#All],2,FALSE))</f>
        <v>#N/A</v>
      </c>
    </row>
    <row r="53" spans="2:9" x14ac:dyDescent="0.2">
      <c r="B53" s="114">
        <v>43700</v>
      </c>
      <c r="C53" s="115">
        <v>43697</v>
      </c>
      <c r="D53" s="116"/>
      <c r="E53" s="116"/>
      <c r="F53" s="117" t="s">
        <v>183</v>
      </c>
      <c r="G53" s="118">
        <v>25000</v>
      </c>
      <c r="H53" s="16" t="s">
        <v>5</v>
      </c>
      <c r="I53" s="19" t="e">
        <f>IF(Paid[[#This Row],[Currency]]="USD",Paid[[#This Row],[Montant]],Paid[[#This Row],[Montant]]/VLOOKUP(Paid[[#This Row],[Date Paid]],TableCurrencyRate[#All],2,FALSE))</f>
        <v>#N/A</v>
      </c>
    </row>
    <row r="54" spans="2:9" x14ac:dyDescent="0.2">
      <c r="B54" s="99">
        <v>43700</v>
      </c>
      <c r="C54" s="100">
        <v>43637</v>
      </c>
      <c r="D54" s="101"/>
      <c r="E54" s="101"/>
      <c r="F54" s="102" t="s">
        <v>54</v>
      </c>
      <c r="G54" s="103">
        <v>35000</v>
      </c>
      <c r="H54" s="16" t="s">
        <v>5</v>
      </c>
      <c r="I54" s="19" t="e">
        <f>IF(Paid[[#This Row],[Currency]]="USD",Paid[[#This Row],[Montant]],Paid[[#This Row],[Montant]]/VLOOKUP(Paid[[#This Row],[Date Paid]],TableCurrencyRate[#All],2,FALSE))</f>
        <v>#N/A</v>
      </c>
    </row>
    <row r="55" spans="2:9" x14ac:dyDescent="0.2">
      <c r="B55" s="57">
        <v>43700</v>
      </c>
      <c r="C55" s="9">
        <v>43672</v>
      </c>
      <c r="D55" s="10"/>
      <c r="E55" s="10"/>
      <c r="F55" s="11" t="s">
        <v>91</v>
      </c>
      <c r="G55" s="18">
        <f>47000-16200</f>
        <v>30800</v>
      </c>
      <c r="H55" s="16" t="s">
        <v>5</v>
      </c>
      <c r="I55" s="19" t="e">
        <f>IF(Paid[[#This Row],[Currency]]="USD",Paid[[#This Row],[Montant]],Paid[[#This Row],[Montant]]/VLOOKUP(Paid[[#This Row],[Date Paid]],TableCurrencyRate[#All],2,FALSE))</f>
        <v>#N/A</v>
      </c>
    </row>
    <row r="56" spans="2:9" x14ac:dyDescent="0.2">
      <c r="B56" s="57">
        <v>43700</v>
      </c>
      <c r="C56" s="9">
        <v>43696</v>
      </c>
      <c r="D56" s="10"/>
      <c r="E56" s="10"/>
      <c r="F56" s="11" t="s">
        <v>86</v>
      </c>
      <c r="G56" s="18">
        <v>95600</v>
      </c>
      <c r="H56" s="16" t="s">
        <v>5</v>
      </c>
      <c r="I56" s="19" t="e">
        <f>IF(Paid[[#This Row],[Currency]]="USD",Paid[[#This Row],[Montant]],Paid[[#This Row],[Montant]]/VLOOKUP(Paid[[#This Row],[Date Paid]],TableCurrencyRate[#All],2,FALSE))</f>
        <v>#N/A</v>
      </c>
    </row>
    <row r="57" spans="2:9" x14ac:dyDescent="0.2">
      <c r="B57" s="186">
        <v>43700</v>
      </c>
      <c r="C57" s="184">
        <v>43692</v>
      </c>
      <c r="D57" s="187"/>
      <c r="E57" s="187"/>
      <c r="F57" s="188" t="s">
        <v>87</v>
      </c>
      <c r="G57" s="189">
        <v>112400</v>
      </c>
      <c r="H57" s="16" t="s">
        <v>5</v>
      </c>
      <c r="I57" s="19" t="e">
        <f>IF(Paid[[#This Row],[Currency]]="USD",Paid[[#This Row],[Montant]],Paid[[#This Row],[Montant]]/VLOOKUP(Paid[[#This Row],[Date Paid]],TableCurrencyRate[#All],2,FALSE))</f>
        <v>#N/A</v>
      </c>
    </row>
    <row r="58" spans="2:9" x14ac:dyDescent="0.2">
      <c r="B58" s="57">
        <v>43700</v>
      </c>
      <c r="C58" s="9">
        <v>43699</v>
      </c>
      <c r="D58" s="10"/>
      <c r="E58" s="10"/>
      <c r="F58" s="11" t="s">
        <v>84</v>
      </c>
      <c r="G58" s="18">
        <f>393600-20000</f>
        <v>373600</v>
      </c>
      <c r="H58" s="16" t="s">
        <v>5</v>
      </c>
      <c r="I58" s="19" t="e">
        <f>IF(Paid[[#This Row],[Currency]]="USD",Paid[[#This Row],[Montant]],Paid[[#This Row],[Montant]]/VLOOKUP(Paid[[#This Row],[Date Paid]],TableCurrencyRate[#All],2,FALSE))</f>
        <v>#N/A</v>
      </c>
    </row>
    <row r="59" spans="2:9" x14ac:dyDescent="0.2">
      <c r="B59" s="99">
        <v>43700</v>
      </c>
      <c r="C59" s="100">
        <v>43692</v>
      </c>
      <c r="D59" s="101"/>
      <c r="E59" s="101"/>
      <c r="F59" s="102" t="s">
        <v>88</v>
      </c>
      <c r="G59" s="103">
        <v>609000</v>
      </c>
      <c r="H59" s="16" t="s">
        <v>5</v>
      </c>
      <c r="I59" s="19" t="e">
        <f>IF(Paid[[#This Row],[Currency]]="USD",Paid[[#This Row],[Montant]],Paid[[#This Row],[Montant]]/VLOOKUP(Paid[[#This Row],[Date Paid]],TableCurrencyRate[#All],2,FALSE))</f>
        <v>#N/A</v>
      </c>
    </row>
    <row r="60" spans="2:9" x14ac:dyDescent="0.2">
      <c r="B60" s="57">
        <v>43700</v>
      </c>
      <c r="C60" s="9">
        <v>43697</v>
      </c>
      <c r="D60" s="10"/>
      <c r="E60" s="10"/>
      <c r="F60" s="11" t="s">
        <v>86</v>
      </c>
      <c r="G60" s="18">
        <v>3500</v>
      </c>
      <c r="H60" s="16" t="s">
        <v>5</v>
      </c>
      <c r="I60" s="19" t="e">
        <f>IF(Paid[[#This Row],[Currency]]="USD",Paid[[#This Row],[Montant]],Paid[[#This Row],[Montant]]/VLOOKUP(Paid[[#This Row],[Date Paid]],TableCurrencyRate[#All],2,FALSE))</f>
        <v>#N/A</v>
      </c>
    </row>
    <row r="61" spans="2:9" x14ac:dyDescent="0.2">
      <c r="B61" s="99">
        <v>43700</v>
      </c>
      <c r="C61" s="100">
        <v>43676</v>
      </c>
      <c r="D61" s="101"/>
      <c r="E61" s="101"/>
      <c r="F61" s="102" t="s">
        <v>25</v>
      </c>
      <c r="G61" s="103">
        <v>620000</v>
      </c>
      <c r="H61" s="16" t="s">
        <v>5</v>
      </c>
      <c r="I61" s="19" t="e">
        <f>IF(Paid[[#This Row],[Currency]]="USD",Paid[[#This Row],[Montant]],Paid[[#This Row],[Montant]]/VLOOKUP(Paid[[#This Row],[Date Paid]],TableCurrencyRate[#All],2,FALSE))</f>
        <v>#N/A</v>
      </c>
    </row>
    <row r="62" spans="2:9" x14ac:dyDescent="0.2">
      <c r="B62" s="186">
        <v>43700</v>
      </c>
      <c r="C62" s="184">
        <v>43685</v>
      </c>
      <c r="D62" s="187"/>
      <c r="E62" s="187"/>
      <c r="F62" s="188" t="s">
        <v>92</v>
      </c>
      <c r="G62" s="189">
        <v>25000</v>
      </c>
      <c r="H62" s="16" t="s">
        <v>5</v>
      </c>
      <c r="I62" s="19" t="e">
        <f>IF(Paid[[#This Row],[Currency]]="USD",Paid[[#This Row],[Montant]],Paid[[#This Row],[Montant]]/VLOOKUP(Paid[[#This Row],[Date Paid]],TableCurrencyRate[#All],2,FALSE))</f>
        <v>#N/A</v>
      </c>
    </row>
    <row r="63" spans="2:9" x14ac:dyDescent="0.2">
      <c r="B63" s="186">
        <v>43700</v>
      </c>
      <c r="C63" s="184">
        <v>43685</v>
      </c>
      <c r="D63" s="187"/>
      <c r="E63" s="187"/>
      <c r="F63" s="188" t="s">
        <v>184</v>
      </c>
      <c r="G63" s="189">
        <v>48000</v>
      </c>
      <c r="H63" s="18" t="s">
        <v>5</v>
      </c>
      <c r="I63" s="19" t="e">
        <f>IF(Paid[[#This Row],[Currency]]="USD",Paid[[#This Row],[Montant]],Paid[[#This Row],[Montant]]/VLOOKUP(Paid[[#This Row],[Date Paid]],TableCurrencyRate[#All],2,FALSE))</f>
        <v>#N/A</v>
      </c>
    </row>
    <row r="64" spans="2:9" x14ac:dyDescent="0.2">
      <c r="B64" s="186">
        <v>43700</v>
      </c>
      <c r="C64" s="184">
        <v>43676</v>
      </c>
      <c r="D64" s="187"/>
      <c r="E64" s="187"/>
      <c r="F64" s="188" t="s">
        <v>93</v>
      </c>
      <c r="G64" s="189">
        <v>175000</v>
      </c>
      <c r="H64" s="18" t="s">
        <v>5</v>
      </c>
      <c r="I64" s="19" t="e">
        <f>IF(Paid[[#This Row],[Currency]]="USD",Paid[[#This Row],[Montant]],Paid[[#This Row],[Montant]]/VLOOKUP(Paid[[#This Row],[Date Paid]],TableCurrencyRate[#All],2,FALSE))</f>
        <v>#N/A</v>
      </c>
    </row>
    <row r="65" spans="2:9" x14ac:dyDescent="0.2">
      <c r="B65" s="186">
        <v>43700</v>
      </c>
      <c r="C65" s="184">
        <v>43676</v>
      </c>
      <c r="D65" s="187"/>
      <c r="E65" s="187"/>
      <c r="F65" s="188" t="s">
        <v>99</v>
      </c>
      <c r="G65" s="189">
        <v>15000</v>
      </c>
      <c r="H65" s="18" t="s">
        <v>5</v>
      </c>
      <c r="I65" s="19" t="e">
        <f>IF(Paid[[#This Row],[Currency]]="USD",Paid[[#This Row],[Montant]],Paid[[#This Row],[Montant]]/VLOOKUP(Paid[[#This Row],[Date Paid]],TableCurrencyRate[#All],2,FALSE))</f>
        <v>#N/A</v>
      </c>
    </row>
    <row r="66" spans="2:9" x14ac:dyDescent="0.2">
      <c r="B66" s="186">
        <v>43700</v>
      </c>
      <c r="C66" s="184">
        <v>43676</v>
      </c>
      <c r="D66" s="187"/>
      <c r="E66" s="187"/>
      <c r="F66" s="188" t="s">
        <v>100</v>
      </c>
      <c r="G66" s="189">
        <v>15000</v>
      </c>
      <c r="H66" s="18" t="s">
        <v>5</v>
      </c>
      <c r="I66" s="19" t="e">
        <f>IF(Paid[[#This Row],[Currency]]="USD",Paid[[#This Row],[Montant]],Paid[[#This Row],[Montant]]/VLOOKUP(Paid[[#This Row],[Date Paid]],TableCurrencyRate[#All],2,FALSE))</f>
        <v>#N/A</v>
      </c>
    </row>
    <row r="67" spans="2:9" x14ac:dyDescent="0.2">
      <c r="B67" s="160">
        <v>43700</v>
      </c>
      <c r="C67" s="161">
        <v>43676</v>
      </c>
      <c r="D67" s="162"/>
      <c r="E67" s="162"/>
      <c r="F67" s="163" t="s">
        <v>95</v>
      </c>
      <c r="G67" s="164">
        <v>15000</v>
      </c>
      <c r="H67" s="18" t="s">
        <v>5</v>
      </c>
      <c r="I67" s="19" t="e">
        <f>IF(Paid[[#This Row],[Currency]]="USD",Paid[[#This Row],[Montant]],Paid[[#This Row],[Montant]]/VLOOKUP(Paid[[#This Row],[Date Paid]],TableCurrencyRate[#All],2,FALSE))</f>
        <v>#N/A</v>
      </c>
    </row>
    <row r="68" spans="2:9" x14ac:dyDescent="0.2">
      <c r="B68" s="57">
        <v>43700</v>
      </c>
      <c r="C68" s="9">
        <v>43676</v>
      </c>
      <c r="D68" s="10"/>
      <c r="E68" s="10"/>
      <c r="F68" s="11" t="s">
        <v>98</v>
      </c>
      <c r="G68" s="18">
        <v>15000</v>
      </c>
      <c r="H68" s="18" t="s">
        <v>5</v>
      </c>
      <c r="I68" s="19" t="e">
        <f>IF(Paid[[#This Row],[Currency]]="USD",Paid[[#This Row],[Montant]],Paid[[#This Row],[Montant]]/VLOOKUP(Paid[[#This Row],[Date Paid]],TableCurrencyRate[#All],2,FALSE))</f>
        <v>#N/A</v>
      </c>
    </row>
    <row r="69" spans="2:9" x14ac:dyDescent="0.2">
      <c r="B69" s="57">
        <v>43700</v>
      </c>
      <c r="C69" s="9">
        <v>43676</v>
      </c>
      <c r="D69" s="10"/>
      <c r="E69" s="10"/>
      <c r="F69" s="11" t="s">
        <v>101</v>
      </c>
      <c r="G69" s="18">
        <v>15000</v>
      </c>
      <c r="H69" s="18" t="s">
        <v>5</v>
      </c>
      <c r="I69" s="19" t="e">
        <f>IF(Paid[[#This Row],[Currency]]="USD",Paid[[#This Row],[Montant]],Paid[[#This Row],[Montant]]/VLOOKUP(Paid[[#This Row],[Date Paid]],TableCurrencyRate[#All],2,FALSE))</f>
        <v>#N/A</v>
      </c>
    </row>
    <row r="70" spans="2:9" x14ac:dyDescent="0.2">
      <c r="B70" s="160">
        <v>43700</v>
      </c>
      <c r="C70" s="161">
        <v>43676</v>
      </c>
      <c r="D70" s="162"/>
      <c r="E70" s="162"/>
      <c r="F70" s="163" t="s">
        <v>96</v>
      </c>
      <c r="G70" s="164">
        <v>15000</v>
      </c>
      <c r="H70" s="18" t="s">
        <v>5</v>
      </c>
      <c r="I70" s="19" t="e">
        <f>IF(Paid[[#This Row],[Currency]]="USD",Paid[[#This Row],[Montant]],Paid[[#This Row],[Montant]]/VLOOKUP(Paid[[#This Row],[Date Paid]],TableCurrencyRate[#All],2,FALSE))</f>
        <v>#N/A</v>
      </c>
    </row>
    <row r="71" spans="2:9" x14ac:dyDescent="0.2">
      <c r="B71" s="160">
        <v>43700</v>
      </c>
      <c r="C71" s="161">
        <v>43676</v>
      </c>
      <c r="D71" s="162"/>
      <c r="E71" s="162"/>
      <c r="F71" s="163" t="s">
        <v>94</v>
      </c>
      <c r="G71" s="164">
        <v>15000</v>
      </c>
      <c r="H71" s="18" t="s">
        <v>5</v>
      </c>
      <c r="I71" s="19" t="e">
        <f>IF(Paid[[#This Row],[Currency]]="USD",Paid[[#This Row],[Montant]],Paid[[#This Row],[Montant]]/VLOOKUP(Paid[[#This Row],[Date Paid]],TableCurrencyRate[#All],2,FALSE))</f>
        <v>#N/A</v>
      </c>
    </row>
    <row r="72" spans="2:9" x14ac:dyDescent="0.2">
      <c r="B72" s="114">
        <v>43700</v>
      </c>
      <c r="C72" s="115">
        <v>43676</v>
      </c>
      <c r="D72" s="116"/>
      <c r="E72" s="116"/>
      <c r="F72" s="117" t="s">
        <v>97</v>
      </c>
      <c r="G72" s="118">
        <v>15000</v>
      </c>
      <c r="H72" s="18" t="s">
        <v>5</v>
      </c>
      <c r="I72" s="19" t="e">
        <f>IF(Paid[[#This Row],[Currency]]="USD",Paid[[#This Row],[Montant]],Paid[[#This Row],[Montant]]/VLOOKUP(Paid[[#This Row],[Date Paid]],TableCurrencyRate[#All],2,FALSE))</f>
        <v>#N/A</v>
      </c>
    </row>
    <row r="73" spans="2:9" x14ac:dyDescent="0.2">
      <c r="B73" s="57">
        <v>43700</v>
      </c>
      <c r="C73" s="9">
        <v>43676</v>
      </c>
      <c r="D73" s="10"/>
      <c r="E73" s="10"/>
      <c r="F73" s="11" t="s">
        <v>102</v>
      </c>
      <c r="G73" s="18">
        <v>15000</v>
      </c>
      <c r="H73" s="18" t="s">
        <v>5</v>
      </c>
      <c r="I73" s="19" t="e">
        <f>IF(Paid[[#This Row],[Currency]]="USD",Paid[[#This Row],[Montant]],Paid[[#This Row],[Montant]]/VLOOKUP(Paid[[#This Row],[Date Paid]],TableCurrencyRate[#All],2,FALSE))</f>
        <v>#N/A</v>
      </c>
    </row>
    <row r="74" spans="2:9" x14ac:dyDescent="0.2">
      <c r="B74" s="57">
        <v>43700</v>
      </c>
      <c r="C74" s="9">
        <v>43678</v>
      </c>
      <c r="D74" s="10"/>
      <c r="E74" s="10"/>
      <c r="F74" s="11" t="s">
        <v>106</v>
      </c>
      <c r="G74" s="18">
        <v>48000</v>
      </c>
      <c r="H74" s="16" t="s">
        <v>5</v>
      </c>
      <c r="I74" s="19" t="e">
        <f>IF(Paid[[#This Row],[Currency]]="USD",Paid[[#This Row],[Montant]],Paid[[#This Row],[Montant]]/VLOOKUP(Paid[[#This Row],[Date Paid]],TableCurrencyRate[#All],2,FALSE))</f>
        <v>#N/A</v>
      </c>
    </row>
    <row r="75" spans="2:9" x14ac:dyDescent="0.2">
      <c r="B75" s="160">
        <v>43700</v>
      </c>
      <c r="C75" s="161">
        <v>43678</v>
      </c>
      <c r="D75" s="162"/>
      <c r="E75" s="162"/>
      <c r="F75" s="163" t="s">
        <v>105</v>
      </c>
      <c r="G75" s="164">
        <v>42000</v>
      </c>
      <c r="H75" s="16" t="s">
        <v>5</v>
      </c>
      <c r="I75" s="19" t="e">
        <f>IF(Paid[[#This Row],[Currency]]="USD",Paid[[#This Row],[Montant]],Paid[[#This Row],[Montant]]/VLOOKUP(Paid[[#This Row],[Date Paid]],TableCurrencyRate[#All],2,FALSE))</f>
        <v>#N/A</v>
      </c>
    </row>
    <row r="76" spans="2:9" x14ac:dyDescent="0.2">
      <c r="B76" s="57">
        <v>43700</v>
      </c>
      <c r="C76" s="9">
        <v>43668</v>
      </c>
      <c r="D76" s="10"/>
      <c r="E76" s="10"/>
      <c r="F76" s="11" t="s">
        <v>108</v>
      </c>
      <c r="G76" s="18">
        <v>48000</v>
      </c>
      <c r="H76" s="16" t="s">
        <v>5</v>
      </c>
      <c r="I76" s="19" t="e">
        <f>IF(Paid[[#This Row],[Currency]]="USD",Paid[[#This Row],[Montant]],Paid[[#This Row],[Montant]]/VLOOKUP(Paid[[#This Row],[Date Paid]],TableCurrencyRate[#All],2,FALSE))</f>
        <v>#N/A</v>
      </c>
    </row>
    <row r="77" spans="2:9" x14ac:dyDescent="0.2">
      <c r="B77" s="57">
        <v>43700</v>
      </c>
      <c r="C77" s="9">
        <v>43676</v>
      </c>
      <c r="D77" s="10"/>
      <c r="E77" s="10"/>
      <c r="F77" s="11" t="s">
        <v>109</v>
      </c>
      <c r="G77" s="18">
        <v>50000</v>
      </c>
      <c r="H77" s="16" t="s">
        <v>5</v>
      </c>
      <c r="I77" s="19" t="e">
        <f>IF(Paid[[#This Row],[Currency]]="USD",Paid[[#This Row],[Montant]],Paid[[#This Row],[Montant]]/VLOOKUP(Paid[[#This Row],[Date Paid]],TableCurrencyRate[#All],2,FALSE))</f>
        <v>#N/A</v>
      </c>
    </row>
    <row r="78" spans="2:9" x14ac:dyDescent="0.2">
      <c r="B78" s="57">
        <v>43700</v>
      </c>
      <c r="C78" s="9">
        <v>43676</v>
      </c>
      <c r="D78" s="10"/>
      <c r="E78" s="10"/>
      <c r="F78" s="11" t="s">
        <v>110</v>
      </c>
      <c r="G78" s="18">
        <v>42000</v>
      </c>
      <c r="H78" s="16" t="s">
        <v>5</v>
      </c>
      <c r="I78" s="19" t="e">
        <f>IF(Paid[[#This Row],[Currency]]="USD",Paid[[#This Row],[Montant]],Paid[[#This Row],[Montant]]/VLOOKUP(Paid[[#This Row],[Date Paid]],TableCurrencyRate[#All],2,FALSE))</f>
        <v>#N/A</v>
      </c>
    </row>
    <row r="79" spans="2:9" x14ac:dyDescent="0.2">
      <c r="B79" s="57">
        <v>43700</v>
      </c>
      <c r="C79" s="9">
        <v>43678</v>
      </c>
      <c r="D79" s="10"/>
      <c r="E79" s="10"/>
      <c r="F79" s="11" t="s">
        <v>107</v>
      </c>
      <c r="G79" s="18">
        <v>35000</v>
      </c>
      <c r="H79" s="18" t="s">
        <v>5</v>
      </c>
      <c r="I79" s="19" t="e">
        <f>IF(Paid[[#This Row],[Currency]]="USD",Paid[[#This Row],[Montant]],Paid[[#This Row],[Montant]]/VLOOKUP(Paid[[#This Row],[Date Paid]],TableCurrencyRate[#All],2,FALSE))</f>
        <v>#N/A</v>
      </c>
    </row>
    <row r="80" spans="2:9" x14ac:dyDescent="0.2">
      <c r="B80" s="57">
        <v>43700</v>
      </c>
      <c r="C80" s="9">
        <v>43678</v>
      </c>
      <c r="D80" s="10"/>
      <c r="E80" s="10"/>
      <c r="F80" s="11" t="s">
        <v>103</v>
      </c>
      <c r="G80" s="18">
        <v>50500</v>
      </c>
      <c r="H80" s="18" t="s">
        <v>5</v>
      </c>
      <c r="I80" s="19" t="e">
        <f>IF(Paid[[#This Row],[Currency]]="USD",Paid[[#This Row],[Montant]],Paid[[#This Row],[Montant]]/VLOOKUP(Paid[[#This Row],[Date Paid]],TableCurrencyRate[#All],2,FALSE))</f>
        <v>#N/A</v>
      </c>
    </row>
    <row r="81" spans="2:9" x14ac:dyDescent="0.2">
      <c r="B81" s="160">
        <v>43700</v>
      </c>
      <c r="C81" s="161">
        <v>43678</v>
      </c>
      <c r="D81" s="162"/>
      <c r="E81" s="162"/>
      <c r="F81" s="163" t="s">
        <v>104</v>
      </c>
      <c r="G81" s="164">
        <v>38500</v>
      </c>
      <c r="H81" s="18" t="s">
        <v>5</v>
      </c>
      <c r="I81" s="19" t="e">
        <f>IF(Paid[[#This Row],[Currency]]="USD",Paid[[#This Row],[Montant]],Paid[[#This Row],[Montant]]/VLOOKUP(Paid[[#This Row],[Date Paid]],TableCurrencyRate[#All],2,FALSE))</f>
        <v>#N/A</v>
      </c>
    </row>
    <row r="82" spans="2:9" x14ac:dyDescent="0.2">
      <c r="B82" s="186">
        <v>43700</v>
      </c>
      <c r="C82" s="184">
        <v>43672</v>
      </c>
      <c r="D82" s="187"/>
      <c r="E82" s="187"/>
      <c r="F82" s="188" t="s">
        <v>89</v>
      </c>
      <c r="G82" s="189">
        <v>13900</v>
      </c>
      <c r="H82" s="18" t="s">
        <v>5</v>
      </c>
      <c r="I82" s="19" t="e">
        <f>IF(Paid[[#This Row],[Currency]]="USD",Paid[[#This Row],[Montant]],Paid[[#This Row],[Montant]]/VLOOKUP(Paid[[#This Row],[Date Paid]],TableCurrencyRate[#All],2,FALSE))</f>
        <v>#N/A</v>
      </c>
    </row>
    <row r="83" spans="2:9" x14ac:dyDescent="0.2">
      <c r="B83" s="186">
        <v>43700</v>
      </c>
      <c r="C83" s="184">
        <v>43670</v>
      </c>
      <c r="D83" s="187"/>
      <c r="E83" s="187"/>
      <c r="F83" s="188" t="s">
        <v>90</v>
      </c>
      <c r="G83" s="189">
        <v>24800</v>
      </c>
      <c r="H83" s="18" t="s">
        <v>5</v>
      </c>
      <c r="I83" s="19" t="e">
        <f>IF(Paid[[#This Row],[Currency]]="USD",Paid[[#This Row],[Montant]],Paid[[#This Row],[Montant]]/VLOOKUP(Paid[[#This Row],[Date Paid]],TableCurrencyRate[#All],2,FALSE))</f>
        <v>#N/A</v>
      </c>
    </row>
    <row r="84" spans="2:9" x14ac:dyDescent="0.2">
      <c r="B84" s="57">
        <v>43703</v>
      </c>
      <c r="C84" s="9">
        <v>43703</v>
      </c>
      <c r="D84" s="10"/>
      <c r="E84" s="10"/>
      <c r="F84" s="11" t="s">
        <v>185</v>
      </c>
      <c r="G84" s="18">
        <v>4000</v>
      </c>
      <c r="H84" s="18" t="s">
        <v>5</v>
      </c>
      <c r="I84" s="19" t="e">
        <f>IF(Paid[[#This Row],[Currency]]="USD",Paid[[#This Row],[Montant]],Paid[[#This Row],[Montant]]/VLOOKUP(Paid[[#This Row],[Date Paid]],TableCurrencyRate[#All],2,FALSE))</f>
        <v>#N/A</v>
      </c>
    </row>
    <row r="85" spans="2:9" x14ac:dyDescent="0.2">
      <c r="B85" s="114">
        <v>43706</v>
      </c>
      <c r="C85" s="115">
        <v>43706</v>
      </c>
      <c r="D85" s="116"/>
      <c r="E85" s="116" t="s">
        <v>63</v>
      </c>
      <c r="F85" s="117" t="s">
        <v>186</v>
      </c>
      <c r="G85" s="118">
        <v>163200</v>
      </c>
      <c r="H85" s="18" t="s">
        <v>5</v>
      </c>
      <c r="I85" s="19" t="e">
        <f>IF(Paid[[#This Row],[Currency]]="USD",Paid[[#This Row],[Montant]],Paid[[#This Row],[Montant]]/VLOOKUP(Paid[[#This Row],[Date Paid]],TableCurrencyRate[#All],2,FALSE))</f>
        <v>#N/A</v>
      </c>
    </row>
    <row r="86" spans="2:9" x14ac:dyDescent="0.2">
      <c r="B86" s="57">
        <v>43706</v>
      </c>
      <c r="C86" s="9">
        <v>43706</v>
      </c>
      <c r="D86" s="10"/>
      <c r="E86" s="10" t="s">
        <v>63</v>
      </c>
      <c r="F86" s="11" t="s">
        <v>187</v>
      </c>
      <c r="G86" s="18">
        <v>390000</v>
      </c>
      <c r="H86" s="18" t="s">
        <v>5</v>
      </c>
      <c r="I86" s="19" t="e">
        <f>IF(Paid[[#This Row],[Currency]]="USD",Paid[[#This Row],[Montant]],Paid[[#This Row],[Montant]]/VLOOKUP(Paid[[#This Row],[Date Paid]],TableCurrencyRate[#All],2,FALSE))</f>
        <v>#N/A</v>
      </c>
    </row>
    <row r="87" spans="2:9" x14ac:dyDescent="0.2">
      <c r="B87" s="194">
        <v>43706</v>
      </c>
      <c r="C87" s="195">
        <v>43706</v>
      </c>
      <c r="D87" s="196"/>
      <c r="E87" s="196" t="s">
        <v>60</v>
      </c>
      <c r="F87" s="197" t="s">
        <v>188</v>
      </c>
      <c r="G87" s="198">
        <v>522600</v>
      </c>
      <c r="H87" s="18" t="s">
        <v>5</v>
      </c>
      <c r="I87" s="19" t="e">
        <f>IF(Paid[[#This Row],[Currency]]="USD",Paid[[#This Row],[Montant]],Paid[[#This Row],[Montant]]/VLOOKUP(Paid[[#This Row],[Date Paid]],TableCurrencyRate[#All],2,FALSE))</f>
        <v>#N/A</v>
      </c>
    </row>
    <row r="88" spans="2:9" x14ac:dyDescent="0.2">
      <c r="B88" s="194">
        <v>43707</v>
      </c>
      <c r="C88" s="195">
        <v>43707</v>
      </c>
      <c r="D88" s="196"/>
      <c r="E88" s="196"/>
      <c r="F88" s="197" t="s">
        <v>189</v>
      </c>
      <c r="G88" s="198">
        <v>1973000</v>
      </c>
      <c r="H88" s="18" t="s">
        <v>5</v>
      </c>
      <c r="I88" s="19" t="e">
        <f>IF(Paid[[#This Row],[Currency]]="USD",Paid[[#This Row],[Montant]],Paid[[#This Row],[Montant]]/VLOOKUP(Paid[[#This Row],[Date Paid]],TableCurrencyRate[#All],2,FALSE))</f>
        <v>#N/A</v>
      </c>
    </row>
    <row r="89" spans="2:9" x14ac:dyDescent="0.2">
      <c r="B89" s="57">
        <v>43707</v>
      </c>
      <c r="C89" s="9">
        <v>43707</v>
      </c>
      <c r="D89" s="10"/>
      <c r="E89" s="10"/>
      <c r="F89" s="11" t="s">
        <v>190</v>
      </c>
      <c r="G89" s="18">
        <v>2331000</v>
      </c>
      <c r="H89" s="18" t="s">
        <v>5</v>
      </c>
      <c r="I89" s="19" t="e">
        <f>IF(Paid[[#This Row],[Currency]]="USD",Paid[[#This Row],[Montant]],Paid[[#This Row],[Montant]]/VLOOKUP(Paid[[#This Row],[Date Paid]],TableCurrencyRate[#All],2,FALSE))</f>
        <v>#N/A</v>
      </c>
    </row>
    <row r="90" spans="2:9" x14ac:dyDescent="0.2">
      <c r="B90" s="57">
        <v>43710</v>
      </c>
      <c r="C90" s="9">
        <v>43707</v>
      </c>
      <c r="D90" s="10"/>
      <c r="E90" s="10"/>
      <c r="F90" s="11" t="s">
        <v>191</v>
      </c>
      <c r="G90" s="18">
        <v>2000</v>
      </c>
      <c r="H90" s="18" t="s">
        <v>5</v>
      </c>
      <c r="I90" s="19" t="e">
        <f>IF(Paid[[#This Row],[Currency]]="USD",Paid[[#This Row],[Montant]],Paid[[#This Row],[Montant]]/VLOOKUP(Paid[[#This Row],[Date Paid]],TableCurrencyRate[#All],2,FALSE))</f>
        <v>#N/A</v>
      </c>
    </row>
    <row r="91" spans="2:9" x14ac:dyDescent="0.2">
      <c r="B91" s="194">
        <v>43710</v>
      </c>
      <c r="C91" s="195">
        <v>43710</v>
      </c>
      <c r="D91" s="196"/>
      <c r="E91" s="196"/>
      <c r="F91" s="197" t="s">
        <v>57</v>
      </c>
      <c r="G91" s="198">
        <v>10800</v>
      </c>
      <c r="H91" s="18" t="s">
        <v>5</v>
      </c>
      <c r="I91" s="19" t="e">
        <f>IF(Paid[[#This Row],[Currency]]="USD",Paid[[#This Row],[Montant]],Paid[[#This Row],[Montant]]/VLOOKUP(Paid[[#This Row],[Date Paid]],TableCurrencyRate[#All],2,FALSE))</f>
        <v>#N/A</v>
      </c>
    </row>
    <row r="92" spans="2:9" x14ac:dyDescent="0.2">
      <c r="B92" s="57">
        <v>43710</v>
      </c>
      <c r="C92" s="9">
        <v>43710</v>
      </c>
      <c r="D92" s="10"/>
      <c r="E92" s="10"/>
      <c r="F92" s="11" t="s">
        <v>192</v>
      </c>
      <c r="G92" s="18">
        <v>11884643</v>
      </c>
      <c r="H92" s="18" t="s">
        <v>5</v>
      </c>
      <c r="I92" s="19" t="e">
        <f>IF(Paid[[#This Row],[Currency]]="USD",Paid[[#This Row],[Montant]],Paid[[#This Row],[Montant]]/VLOOKUP(Paid[[#This Row],[Date Paid]],TableCurrencyRate[#All],2,FALSE))</f>
        <v>#N/A</v>
      </c>
    </row>
    <row r="93" spans="2:9" x14ac:dyDescent="0.2">
      <c r="B93" s="57">
        <v>43712</v>
      </c>
      <c r="C93" s="9">
        <v>43712</v>
      </c>
      <c r="D93" s="10"/>
      <c r="E93" s="10"/>
      <c r="F93" s="11" t="s">
        <v>38</v>
      </c>
      <c r="G93" s="18">
        <f>370000-115300</f>
        <v>254700</v>
      </c>
      <c r="H93" s="18" t="s">
        <v>5</v>
      </c>
      <c r="I93" s="19" t="e">
        <f>IF(Paid[[#This Row],[Currency]]="USD",Paid[[#This Row],[Montant]],Paid[[#This Row],[Montant]]/VLOOKUP(Paid[[#This Row],[Date Paid]],TableCurrencyRate[#All],2,FALSE))</f>
        <v>#N/A</v>
      </c>
    </row>
    <row r="94" spans="2:9" x14ac:dyDescent="0.2">
      <c r="B94" s="57">
        <v>43713</v>
      </c>
      <c r="C94" s="9">
        <v>43713</v>
      </c>
      <c r="D94" s="10"/>
      <c r="E94" s="10"/>
      <c r="F94" s="11" t="s">
        <v>193</v>
      </c>
      <c r="G94" s="18">
        <v>7731171</v>
      </c>
      <c r="H94" s="18" t="s">
        <v>5</v>
      </c>
      <c r="I94" s="19" t="e">
        <f>IF(Paid[[#This Row],[Currency]]="USD",Paid[[#This Row],[Montant]],Paid[[#This Row],[Montant]]/VLOOKUP(Paid[[#This Row],[Date Paid]],TableCurrencyRate[#All],2,FALSE))</f>
        <v>#N/A</v>
      </c>
    </row>
    <row r="95" spans="2:9" x14ac:dyDescent="0.2">
      <c r="B95" s="57">
        <v>43714</v>
      </c>
      <c r="C95" s="9">
        <v>43714</v>
      </c>
      <c r="D95" s="10"/>
      <c r="E95" s="10"/>
      <c r="F95" s="11" t="s">
        <v>40</v>
      </c>
      <c r="G95" s="18">
        <f>270000-86400</f>
        <v>183600</v>
      </c>
      <c r="H95" s="18" t="s">
        <v>5</v>
      </c>
      <c r="I95" s="19" t="e">
        <f>IF(Paid[[#This Row],[Currency]]="USD",Paid[[#This Row],[Montant]],Paid[[#This Row],[Montant]]/VLOOKUP(Paid[[#This Row],[Date Paid]],TableCurrencyRate[#All],2,FALSE))</f>
        <v>#N/A</v>
      </c>
    </row>
    <row r="96" spans="2:9" x14ac:dyDescent="0.2">
      <c r="B96" s="57">
        <v>43714</v>
      </c>
      <c r="C96" s="9">
        <v>43714</v>
      </c>
      <c r="D96" s="10"/>
      <c r="E96" s="10" t="s">
        <v>194</v>
      </c>
      <c r="F96" s="11" t="s">
        <v>195</v>
      </c>
      <c r="G96" s="18">
        <v>43800</v>
      </c>
      <c r="H96" s="18" t="s">
        <v>5</v>
      </c>
      <c r="I96" s="19" t="e">
        <f>IF(Paid[[#This Row],[Currency]]="USD",Paid[[#This Row],[Montant]],Paid[[#This Row],[Montant]]/VLOOKUP(Paid[[#This Row],[Date Paid]],TableCurrencyRate[#All],2,FALSE))</f>
        <v>#N/A</v>
      </c>
    </row>
    <row r="97" spans="2:9" x14ac:dyDescent="0.2">
      <c r="B97" s="57">
        <v>43717</v>
      </c>
      <c r="C97" s="9">
        <v>43717</v>
      </c>
      <c r="D97" s="10"/>
      <c r="E97" s="10" t="s">
        <v>60</v>
      </c>
      <c r="F97" s="11" t="s">
        <v>197</v>
      </c>
      <c r="G97" s="18">
        <v>500000</v>
      </c>
      <c r="H97" s="18" t="s">
        <v>5</v>
      </c>
      <c r="I97" s="19" t="e">
        <f>IF(Paid[[#This Row],[Currency]]="USD",Paid[[#This Row],[Montant]],Paid[[#This Row],[Montant]]/VLOOKUP(Paid[[#This Row],[Date Paid]],TableCurrencyRate[#All],2,FALSE))</f>
        <v>#N/A</v>
      </c>
    </row>
    <row r="98" spans="2:9" x14ac:dyDescent="0.2">
      <c r="B98" s="57">
        <v>43719</v>
      </c>
      <c r="C98" s="9">
        <v>43719</v>
      </c>
      <c r="D98" s="10"/>
      <c r="E98" s="10"/>
      <c r="F98" s="11" t="s">
        <v>198</v>
      </c>
      <c r="G98" s="18">
        <f>270000+800</f>
        <v>270800</v>
      </c>
      <c r="H98" s="18" t="s">
        <v>5</v>
      </c>
      <c r="I98" s="19" t="e">
        <f>IF(Paid[[#This Row],[Currency]]="USD",Paid[[#This Row],[Montant]],Paid[[#This Row],[Montant]]/VLOOKUP(Paid[[#This Row],[Date Paid]],TableCurrencyRate[#All],2,FALSE))</f>
        <v>#N/A</v>
      </c>
    </row>
    <row r="99" spans="2:9" x14ac:dyDescent="0.2">
      <c r="B99" s="194">
        <v>43724</v>
      </c>
      <c r="C99" s="195">
        <v>43724</v>
      </c>
      <c r="D99" s="196"/>
      <c r="E99" s="196"/>
      <c r="F99" s="197" t="s">
        <v>199</v>
      </c>
      <c r="G99" s="198">
        <v>945</v>
      </c>
      <c r="H99" s="18" t="s">
        <v>6</v>
      </c>
      <c r="I99" s="19">
        <f>IF(Paid[[#This Row],[Currency]]="USD",Paid[[#This Row],[Montant]],Paid[[#This Row],[Montant]]/VLOOKUP(Paid[[#This Row],[Date Paid]],TableCurrencyRate[#All],2,FALSE))</f>
        <v>945</v>
      </c>
    </row>
    <row r="100" spans="2:9" x14ac:dyDescent="0.2">
      <c r="B100" s="175">
        <v>43724</v>
      </c>
      <c r="C100" s="176">
        <v>43724</v>
      </c>
      <c r="D100" s="177"/>
      <c r="E100" s="177"/>
      <c r="F100" s="178" t="s">
        <v>200</v>
      </c>
      <c r="G100" s="179">
        <v>1260</v>
      </c>
      <c r="H100" s="18" t="s">
        <v>6</v>
      </c>
      <c r="I100" s="19">
        <f>IF(Paid[[#This Row],[Currency]]="USD",Paid[[#This Row],[Montant]],Paid[[#This Row],[Montant]]/VLOOKUP(Paid[[#This Row],[Date Paid]],TableCurrencyRate[#All],2,FALSE))</f>
        <v>1260</v>
      </c>
    </row>
    <row r="101" spans="2:9" x14ac:dyDescent="0.2">
      <c r="B101" s="57">
        <v>43724</v>
      </c>
      <c r="C101" s="9">
        <v>43693</v>
      </c>
      <c r="D101" s="10"/>
      <c r="E101" s="10"/>
      <c r="F101" s="11" t="s">
        <v>128</v>
      </c>
      <c r="G101" s="18">
        <v>900</v>
      </c>
      <c r="H101" s="18" t="s">
        <v>5</v>
      </c>
      <c r="I101" s="19" t="e">
        <f>IF(Paid[[#This Row],[Currency]]="USD",Paid[[#This Row],[Montant]],Paid[[#This Row],[Montant]]/VLOOKUP(Paid[[#This Row],[Date Paid]],TableCurrencyRate[#All],2,FALSE))</f>
        <v>#N/A</v>
      </c>
    </row>
    <row r="102" spans="2:9" x14ac:dyDescent="0.2">
      <c r="B102" s="57">
        <v>43724</v>
      </c>
      <c r="C102" s="9">
        <v>43707</v>
      </c>
      <c r="D102" s="10"/>
      <c r="E102" s="10"/>
      <c r="F102" s="11" t="s">
        <v>120</v>
      </c>
      <c r="G102" s="18">
        <v>600000</v>
      </c>
      <c r="H102" s="18" t="s">
        <v>5</v>
      </c>
      <c r="I102" s="19" t="e">
        <f>IF(Paid[[#This Row],[Currency]]="USD",Paid[[#This Row],[Montant]],Paid[[#This Row],[Montant]]/VLOOKUP(Paid[[#This Row],[Date Paid]],TableCurrencyRate[#All],2,FALSE))</f>
        <v>#N/A</v>
      </c>
    </row>
    <row r="103" spans="2:9" x14ac:dyDescent="0.2">
      <c r="B103" s="57">
        <v>43724</v>
      </c>
      <c r="C103" s="9">
        <v>43707</v>
      </c>
      <c r="D103" s="10"/>
      <c r="E103" s="10"/>
      <c r="F103" s="11" t="s">
        <v>119</v>
      </c>
      <c r="G103" s="18">
        <v>800000</v>
      </c>
      <c r="H103" s="18" t="s">
        <v>5</v>
      </c>
      <c r="I103" s="19" t="e">
        <f>IF(Paid[[#This Row],[Currency]]="USD",Paid[[#This Row],[Montant]],Paid[[#This Row],[Montant]]/VLOOKUP(Paid[[#This Row],[Date Paid]],TableCurrencyRate[#All],2,FALSE))</f>
        <v>#N/A</v>
      </c>
    </row>
    <row r="104" spans="2:9" x14ac:dyDescent="0.2">
      <c r="B104" s="57">
        <v>43724</v>
      </c>
      <c r="C104" s="9">
        <v>43707</v>
      </c>
      <c r="D104" s="10"/>
      <c r="E104" s="10"/>
      <c r="F104" s="11" t="s">
        <v>118</v>
      </c>
      <c r="G104" s="18">
        <v>700000</v>
      </c>
      <c r="H104" s="18" t="s">
        <v>5</v>
      </c>
      <c r="I104" s="19" t="e">
        <f>IF(Paid[[#This Row],[Currency]]="USD",Paid[[#This Row],[Montant]],Paid[[#This Row],[Montant]]/VLOOKUP(Paid[[#This Row],[Date Paid]],TableCurrencyRate[#All],2,FALSE))</f>
        <v>#N/A</v>
      </c>
    </row>
    <row r="105" spans="2:9" x14ac:dyDescent="0.2">
      <c r="B105" s="57">
        <v>43724</v>
      </c>
      <c r="C105" s="9">
        <v>43707</v>
      </c>
      <c r="D105" s="10"/>
      <c r="E105" s="10"/>
      <c r="F105" s="11" t="s">
        <v>28</v>
      </c>
      <c r="G105" s="18">
        <v>700000</v>
      </c>
      <c r="H105" s="18" t="s">
        <v>5</v>
      </c>
      <c r="I105" s="19" t="e">
        <f>IF(Paid[[#This Row],[Currency]]="USD",Paid[[#This Row],[Montant]],Paid[[#This Row],[Montant]]/VLOOKUP(Paid[[#This Row],[Date Paid]],TableCurrencyRate[#All],2,FALSE))</f>
        <v>#N/A</v>
      </c>
    </row>
    <row r="106" spans="2:9" x14ac:dyDescent="0.2">
      <c r="B106" s="57">
        <v>43724</v>
      </c>
      <c r="C106" s="9">
        <v>43707</v>
      </c>
      <c r="D106" s="10"/>
      <c r="E106" s="10"/>
      <c r="F106" s="11" t="s">
        <v>22</v>
      </c>
      <c r="G106" s="18">
        <v>620000</v>
      </c>
      <c r="H106" s="18" t="s">
        <v>5</v>
      </c>
      <c r="I106" s="19" t="e">
        <f>IF(Paid[[#This Row],[Currency]]="USD",Paid[[#This Row],[Montant]],Paid[[#This Row],[Montant]]/VLOOKUP(Paid[[#This Row],[Date Paid]],TableCurrencyRate[#All],2,FALSE))</f>
        <v>#N/A</v>
      </c>
    </row>
    <row r="107" spans="2:9" x14ac:dyDescent="0.2">
      <c r="B107" s="57">
        <v>43724</v>
      </c>
      <c r="C107" s="9">
        <v>43707</v>
      </c>
      <c r="D107" s="10"/>
      <c r="E107" s="10"/>
      <c r="F107" s="11" t="s">
        <v>26</v>
      </c>
      <c r="G107" s="18">
        <v>15000</v>
      </c>
      <c r="H107" s="18" t="s">
        <v>5</v>
      </c>
      <c r="I107" s="19" t="e">
        <f>IF(Paid[[#This Row],[Currency]]="USD",Paid[[#This Row],[Montant]],Paid[[#This Row],[Montant]]/VLOOKUP(Paid[[#This Row],[Date Paid]],TableCurrencyRate[#All],2,FALSE))</f>
        <v>#N/A</v>
      </c>
    </row>
    <row r="108" spans="2:9" x14ac:dyDescent="0.2">
      <c r="B108" s="57">
        <v>43724</v>
      </c>
      <c r="C108" s="9">
        <v>43707</v>
      </c>
      <c r="D108" s="10"/>
      <c r="E108" s="10"/>
      <c r="F108" s="11" t="s">
        <v>123</v>
      </c>
      <c r="G108" s="18">
        <v>183300</v>
      </c>
      <c r="H108" s="18" t="s">
        <v>5</v>
      </c>
      <c r="I108" s="19" t="e">
        <f>IF(Paid[[#This Row],[Currency]]="USD",Paid[[#This Row],[Montant]],Paid[[#This Row],[Montant]]/VLOOKUP(Paid[[#This Row],[Date Paid]],TableCurrencyRate[#All],2,FALSE))</f>
        <v>#N/A</v>
      </c>
    </row>
    <row r="109" spans="2:9" x14ac:dyDescent="0.2">
      <c r="B109" s="57">
        <v>43724</v>
      </c>
      <c r="C109" s="9">
        <v>43707</v>
      </c>
      <c r="D109" s="10"/>
      <c r="E109" s="10"/>
      <c r="F109" s="11" t="s">
        <v>122</v>
      </c>
      <c r="G109" s="18">
        <v>33750</v>
      </c>
      <c r="H109" s="18" t="s">
        <v>5</v>
      </c>
      <c r="I109" s="19" t="e">
        <f>IF(Paid[[#This Row],[Currency]]="USD",Paid[[#This Row],[Montant]],Paid[[#This Row],[Montant]]/VLOOKUP(Paid[[#This Row],[Date Paid]],TableCurrencyRate[#All],2,FALSE))</f>
        <v>#N/A</v>
      </c>
    </row>
    <row r="110" spans="2:9" x14ac:dyDescent="0.2">
      <c r="B110" s="57">
        <v>43724</v>
      </c>
      <c r="C110" s="9">
        <v>43719</v>
      </c>
      <c r="D110" s="10"/>
      <c r="E110" s="10"/>
      <c r="F110" s="11" t="s">
        <v>117</v>
      </c>
      <c r="G110" s="18">
        <v>21700</v>
      </c>
      <c r="H110" s="18" t="s">
        <v>5</v>
      </c>
      <c r="I110" s="19" t="e">
        <f>IF(Paid[[#This Row],[Currency]]="USD",Paid[[#This Row],[Montant]],Paid[[#This Row],[Montant]]/VLOOKUP(Paid[[#This Row],[Date Paid]],TableCurrencyRate[#All],2,FALSE))</f>
        <v>#N/A</v>
      </c>
    </row>
    <row r="111" spans="2:9" x14ac:dyDescent="0.2">
      <c r="B111" s="57">
        <v>43724</v>
      </c>
      <c r="C111" s="9">
        <v>43719</v>
      </c>
      <c r="D111" s="10"/>
      <c r="E111" s="10"/>
      <c r="F111" s="11" t="s">
        <v>117</v>
      </c>
      <c r="G111" s="18">
        <v>25000</v>
      </c>
      <c r="H111" s="18" t="s">
        <v>5</v>
      </c>
      <c r="I111" s="19" t="e">
        <f>IF(Paid[[#This Row],[Currency]]="USD",Paid[[#This Row],[Montant]],Paid[[#This Row],[Montant]]/VLOOKUP(Paid[[#This Row],[Date Paid]],TableCurrencyRate[#All],2,FALSE))</f>
        <v>#N/A</v>
      </c>
    </row>
    <row r="112" spans="2:9" x14ac:dyDescent="0.2">
      <c r="B112" s="57">
        <v>43724</v>
      </c>
      <c r="C112" s="9">
        <v>43700</v>
      </c>
      <c r="D112" s="10"/>
      <c r="E112" s="10"/>
      <c r="F112" s="11" t="s">
        <v>131</v>
      </c>
      <c r="G112" s="18">
        <v>28800</v>
      </c>
      <c r="H112" s="18" t="s">
        <v>5</v>
      </c>
      <c r="I112" s="19" t="e">
        <f>IF(Paid[[#This Row],[Currency]]="USD",Paid[[#This Row],[Montant]],Paid[[#This Row],[Montant]]/VLOOKUP(Paid[[#This Row],[Date Paid]],TableCurrencyRate[#All],2,FALSE))</f>
        <v>#N/A</v>
      </c>
    </row>
    <row r="113" spans="2:9" x14ac:dyDescent="0.2">
      <c r="B113" s="57">
        <v>43724</v>
      </c>
      <c r="C113" s="9">
        <v>43719</v>
      </c>
      <c r="D113" s="10"/>
      <c r="E113" s="10"/>
      <c r="F113" s="11" t="s">
        <v>89</v>
      </c>
      <c r="G113" s="18">
        <v>33900</v>
      </c>
      <c r="H113" s="18" t="s">
        <v>5</v>
      </c>
      <c r="I113" s="19" t="e">
        <f>IF(Paid[[#This Row],[Currency]]="USD",Paid[[#This Row],[Montant]],Paid[[#This Row],[Montant]]/VLOOKUP(Paid[[#This Row],[Date Paid]],TableCurrencyRate[#All],2,FALSE))</f>
        <v>#N/A</v>
      </c>
    </row>
    <row r="114" spans="2:9" x14ac:dyDescent="0.2">
      <c r="B114" s="57">
        <v>43724</v>
      </c>
      <c r="C114" s="9">
        <v>43700</v>
      </c>
      <c r="D114" s="10"/>
      <c r="E114" s="10"/>
      <c r="F114" s="11" t="s">
        <v>115</v>
      </c>
      <c r="G114" s="18">
        <f>150000-30000</f>
        <v>120000</v>
      </c>
      <c r="H114" s="18" t="s">
        <v>5</v>
      </c>
      <c r="I114" s="19" t="e">
        <f>IF(Paid[[#This Row],[Currency]]="USD",Paid[[#This Row],[Montant]],Paid[[#This Row],[Montant]]/VLOOKUP(Paid[[#This Row],[Date Paid]],TableCurrencyRate[#All],2,FALSE))</f>
        <v>#N/A</v>
      </c>
    </row>
    <row r="115" spans="2:9" x14ac:dyDescent="0.2">
      <c r="B115" s="57">
        <v>43724</v>
      </c>
      <c r="C115" s="9">
        <v>43699</v>
      </c>
      <c r="D115" s="10"/>
      <c r="E115" s="10"/>
      <c r="F115" s="11" t="s">
        <v>129</v>
      </c>
      <c r="G115" s="18">
        <v>35000</v>
      </c>
      <c r="H115" s="18" t="s">
        <v>5</v>
      </c>
      <c r="I115" s="19" t="e">
        <f>IF(Paid[[#This Row],[Currency]]="USD",Paid[[#This Row],[Montant]],Paid[[#This Row],[Montant]]/VLOOKUP(Paid[[#This Row],[Date Paid]],TableCurrencyRate[#All],2,FALSE))</f>
        <v>#N/A</v>
      </c>
    </row>
    <row r="116" spans="2:9" x14ac:dyDescent="0.2">
      <c r="B116" s="57">
        <v>43724</v>
      </c>
      <c r="C116" s="9">
        <v>43703</v>
      </c>
      <c r="D116" s="10"/>
      <c r="E116" s="10"/>
      <c r="F116" s="11" t="s">
        <v>127</v>
      </c>
      <c r="G116" s="18">
        <v>27500</v>
      </c>
      <c r="H116" s="18" t="s">
        <v>5</v>
      </c>
      <c r="I116" s="19" t="e">
        <f>IF(Paid[[#This Row],[Currency]]="USD",Paid[[#This Row],[Montant]],Paid[[#This Row],[Montant]]/VLOOKUP(Paid[[#This Row],[Date Paid]],TableCurrencyRate[#All],2,FALSE))</f>
        <v>#N/A</v>
      </c>
    </row>
    <row r="117" spans="2:9" x14ac:dyDescent="0.2">
      <c r="B117" s="160">
        <v>43724</v>
      </c>
      <c r="C117" s="161">
        <v>43711</v>
      </c>
      <c r="D117" s="162"/>
      <c r="E117" s="162"/>
      <c r="F117" s="163" t="s">
        <v>112</v>
      </c>
      <c r="G117" s="164">
        <f>779000-5192</f>
        <v>773808</v>
      </c>
      <c r="H117" s="18" t="s">
        <v>5</v>
      </c>
      <c r="I117" s="19" t="e">
        <f>IF(Paid[[#This Row],[Currency]]="USD",Paid[[#This Row],[Montant]],Paid[[#This Row],[Montant]]/VLOOKUP(Paid[[#This Row],[Date Paid]],TableCurrencyRate[#All],2,FALSE))</f>
        <v>#N/A</v>
      </c>
    </row>
    <row r="118" spans="2:9" x14ac:dyDescent="0.2">
      <c r="B118" s="57">
        <v>43724</v>
      </c>
      <c r="C118" s="9">
        <v>43712</v>
      </c>
      <c r="D118" s="10"/>
      <c r="E118" s="10"/>
      <c r="F118" s="11" t="s">
        <v>24</v>
      </c>
      <c r="G118" s="18">
        <v>10000</v>
      </c>
      <c r="H118" s="18" t="s">
        <v>5</v>
      </c>
      <c r="I118" s="19" t="e">
        <f>IF(Paid[[#This Row],[Currency]]="USD",Paid[[#This Row],[Montant]],Paid[[#This Row],[Montant]]/VLOOKUP(Paid[[#This Row],[Date Paid]],TableCurrencyRate[#All],2,FALSE))</f>
        <v>#N/A</v>
      </c>
    </row>
    <row r="119" spans="2:9" x14ac:dyDescent="0.2">
      <c r="B119" s="160">
        <v>43724</v>
      </c>
      <c r="C119" s="161">
        <v>43685</v>
      </c>
      <c r="D119" s="162"/>
      <c r="E119" s="162"/>
      <c r="F119" s="163" t="s">
        <v>124</v>
      </c>
      <c r="G119" s="164">
        <v>270200</v>
      </c>
      <c r="H119" s="18" t="s">
        <v>5</v>
      </c>
      <c r="I119" s="19" t="e">
        <f>IF(Paid[[#This Row],[Currency]]="USD",Paid[[#This Row],[Montant]],Paid[[#This Row],[Montant]]/VLOOKUP(Paid[[#This Row],[Date Paid]],TableCurrencyRate[#All],2,FALSE))</f>
        <v>#N/A</v>
      </c>
    </row>
    <row r="120" spans="2:9" x14ac:dyDescent="0.2">
      <c r="B120" s="160">
        <v>43724</v>
      </c>
      <c r="C120" s="161">
        <v>43712</v>
      </c>
      <c r="D120" s="162"/>
      <c r="E120" s="162"/>
      <c r="F120" s="163" t="s">
        <v>17</v>
      </c>
      <c r="G120" s="164">
        <v>200000</v>
      </c>
      <c r="H120" s="18" t="s">
        <v>5</v>
      </c>
      <c r="I120" s="19" t="e">
        <f>IF(Paid[[#This Row],[Currency]]="USD",Paid[[#This Row],[Montant]],Paid[[#This Row],[Montant]]/VLOOKUP(Paid[[#This Row],[Date Paid]],TableCurrencyRate[#All],2,FALSE))</f>
        <v>#N/A</v>
      </c>
    </row>
    <row r="121" spans="2:9" x14ac:dyDescent="0.2">
      <c r="B121" s="160">
        <v>43724</v>
      </c>
      <c r="C121" s="161">
        <v>43699</v>
      </c>
      <c r="D121" s="162"/>
      <c r="E121" s="162"/>
      <c r="F121" s="163" t="s">
        <v>130</v>
      </c>
      <c r="G121" s="164">
        <v>12000</v>
      </c>
      <c r="H121" s="18" t="s">
        <v>5</v>
      </c>
      <c r="I121" s="19" t="e">
        <f>IF(Paid[[#This Row],[Currency]]="USD",Paid[[#This Row],[Montant]],Paid[[#This Row],[Montant]]/VLOOKUP(Paid[[#This Row],[Date Paid]],TableCurrencyRate[#All],2,FALSE))</f>
        <v>#N/A</v>
      </c>
    </row>
    <row r="122" spans="2:9" x14ac:dyDescent="0.2">
      <c r="B122" s="160">
        <v>43724</v>
      </c>
      <c r="C122" s="161">
        <v>43700</v>
      </c>
      <c r="D122" s="162"/>
      <c r="E122" s="162"/>
      <c r="F122" s="163" t="s">
        <v>121</v>
      </c>
      <c r="G122" s="164">
        <v>142900</v>
      </c>
      <c r="H122" s="18" t="s">
        <v>5</v>
      </c>
      <c r="I122" s="19" t="e">
        <f>IF(Paid[[#This Row],[Currency]]="USD",Paid[[#This Row],[Montant]],Paid[[#This Row],[Montant]]/VLOOKUP(Paid[[#This Row],[Date Paid]],TableCurrencyRate[#All],2,FALSE))</f>
        <v>#N/A</v>
      </c>
    </row>
    <row r="123" spans="2:9" x14ac:dyDescent="0.2">
      <c r="B123" s="160">
        <v>43724</v>
      </c>
      <c r="C123" s="161">
        <v>43703</v>
      </c>
      <c r="D123" s="162"/>
      <c r="E123" s="162"/>
      <c r="F123" s="163" t="s">
        <v>125</v>
      </c>
      <c r="G123" s="164">
        <v>5000</v>
      </c>
      <c r="H123" s="18" t="s">
        <v>5</v>
      </c>
      <c r="I123" s="19" t="e">
        <f>IF(Paid[[#This Row],[Currency]]="USD",Paid[[#This Row],[Montant]],Paid[[#This Row],[Montant]]/VLOOKUP(Paid[[#This Row],[Date Paid]],TableCurrencyRate[#All],2,FALSE))</f>
        <v>#N/A</v>
      </c>
    </row>
    <row r="124" spans="2:9" x14ac:dyDescent="0.2">
      <c r="B124" s="114">
        <v>43724</v>
      </c>
      <c r="C124" s="115">
        <v>43703</v>
      </c>
      <c r="D124" s="116"/>
      <c r="E124" s="116"/>
      <c r="F124" s="117" t="s">
        <v>126</v>
      </c>
      <c r="G124" s="118">
        <v>2150</v>
      </c>
      <c r="H124" s="18" t="s">
        <v>5</v>
      </c>
      <c r="I124" s="19" t="e">
        <f>IF(Paid[[#This Row],[Currency]]="USD",Paid[[#This Row],[Montant]],Paid[[#This Row],[Montant]]/VLOOKUP(Paid[[#This Row],[Date Paid]],TableCurrencyRate[#All],2,FALSE))</f>
        <v>#N/A</v>
      </c>
    </row>
    <row r="125" spans="2:9" x14ac:dyDescent="0.2">
      <c r="B125" s="57">
        <v>43724</v>
      </c>
      <c r="C125" s="9">
        <v>43704</v>
      </c>
      <c r="D125" s="10"/>
      <c r="E125" s="10"/>
      <c r="F125" s="11" t="s">
        <v>114</v>
      </c>
      <c r="G125" s="18">
        <v>85000</v>
      </c>
      <c r="H125" s="18" t="s">
        <v>5</v>
      </c>
      <c r="I125" s="19" t="e">
        <f>IF(Paid[[#This Row],[Currency]]="USD",Paid[[#This Row],[Montant]],Paid[[#This Row],[Montant]]/VLOOKUP(Paid[[#This Row],[Date Paid]],TableCurrencyRate[#All],2,FALSE))</f>
        <v>#N/A</v>
      </c>
    </row>
    <row r="126" spans="2:9" x14ac:dyDescent="0.2">
      <c r="B126" s="57">
        <v>43724</v>
      </c>
      <c r="C126" s="9">
        <v>43704</v>
      </c>
      <c r="D126" s="10"/>
      <c r="E126" s="10"/>
      <c r="F126" s="11" t="s">
        <v>116</v>
      </c>
      <c r="G126" s="18">
        <v>50000</v>
      </c>
      <c r="H126" s="18" t="s">
        <v>5</v>
      </c>
      <c r="I126" s="19" t="e">
        <f>IF(Paid[[#This Row],[Currency]]="USD",Paid[[#This Row],[Montant]],Paid[[#This Row],[Montant]]/VLOOKUP(Paid[[#This Row],[Date Paid]],TableCurrencyRate[#All],2,FALSE))</f>
        <v>#N/A</v>
      </c>
    </row>
    <row r="127" spans="2:9" x14ac:dyDescent="0.2">
      <c r="B127" s="57">
        <v>43724</v>
      </c>
      <c r="C127" s="9">
        <v>43712</v>
      </c>
      <c r="D127" s="10"/>
      <c r="E127" s="10"/>
      <c r="F127" s="11" t="s">
        <v>113</v>
      </c>
      <c r="G127" s="18">
        <v>140000</v>
      </c>
      <c r="H127" s="18" t="s">
        <v>5</v>
      </c>
      <c r="I127" s="19" t="e">
        <f>IF(Paid[[#This Row],[Currency]]="USD",Paid[[#This Row],[Montant]],Paid[[#This Row],[Montant]]/VLOOKUP(Paid[[#This Row],[Date Paid]],TableCurrencyRate[#All],2,FALSE))</f>
        <v>#N/A</v>
      </c>
    </row>
    <row r="128" spans="2:9" x14ac:dyDescent="0.2">
      <c r="B128" s="57">
        <v>43724</v>
      </c>
      <c r="C128" s="9">
        <v>43718</v>
      </c>
      <c r="D128" s="10"/>
      <c r="E128" s="10"/>
      <c r="F128" s="11" t="s">
        <v>111</v>
      </c>
      <c r="G128" s="18">
        <v>991400</v>
      </c>
      <c r="H128" s="18" t="s">
        <v>5</v>
      </c>
      <c r="I128" s="19" t="e">
        <f>IF(Paid[[#This Row],[Currency]]="USD",Paid[[#This Row],[Montant]],Paid[[#This Row],[Montant]]/VLOOKUP(Paid[[#This Row],[Date Paid]],TableCurrencyRate[#All],2,FALSE))</f>
        <v>#N/A</v>
      </c>
    </row>
    <row r="129" spans="2:9" x14ac:dyDescent="0.2">
      <c r="B129" s="57">
        <v>43724</v>
      </c>
      <c r="C129" s="9">
        <v>43720</v>
      </c>
      <c r="D129" s="10"/>
      <c r="E129" s="10"/>
      <c r="F129" s="11" t="s">
        <v>111</v>
      </c>
      <c r="G129" s="18">
        <v>648550</v>
      </c>
      <c r="H129" s="18" t="s">
        <v>5</v>
      </c>
      <c r="I129" s="19" t="e">
        <f>IF(Paid[[#This Row],[Currency]]="USD",Paid[[#This Row],[Montant]],Paid[[#This Row],[Montant]]/VLOOKUP(Paid[[#This Row],[Date Paid]],TableCurrencyRate[#All],2,FALSE))</f>
        <v>#N/A</v>
      </c>
    </row>
    <row r="130" spans="2:9" x14ac:dyDescent="0.2">
      <c r="B130" s="57">
        <v>43724</v>
      </c>
      <c r="C130" s="9">
        <v>43724</v>
      </c>
      <c r="D130" s="10"/>
      <c r="E130" s="10"/>
      <c r="F130" s="11" t="s">
        <v>59</v>
      </c>
      <c r="G130" s="18">
        <v>312360</v>
      </c>
      <c r="H130" s="18" t="s">
        <v>5</v>
      </c>
      <c r="I130" s="19" t="e">
        <f>IF(Paid[[#This Row],[Currency]]="USD",Paid[[#This Row],[Montant]],Paid[[#This Row],[Montant]]/VLOOKUP(Paid[[#This Row],[Date Paid]],TableCurrencyRate[#All],2,FALSE))</f>
        <v>#N/A</v>
      </c>
    </row>
    <row r="131" spans="2:9" x14ac:dyDescent="0.2">
      <c r="B131" s="114">
        <v>43724</v>
      </c>
      <c r="C131" s="115">
        <v>43725</v>
      </c>
      <c r="D131" s="116"/>
      <c r="E131" s="116"/>
      <c r="F131" s="117" t="s">
        <v>201</v>
      </c>
      <c r="G131" s="118">
        <v>187000</v>
      </c>
      <c r="H131" s="18" t="s">
        <v>5</v>
      </c>
      <c r="I131" s="19" t="e">
        <f>IF(Paid[[#This Row],[Currency]]="USD",Paid[[#This Row],[Montant]],Paid[[#This Row],[Montant]]/VLOOKUP(Paid[[#This Row],[Date Paid]],TableCurrencyRate[#All],2,FALSE))</f>
        <v>#N/A</v>
      </c>
    </row>
    <row r="132" spans="2:9" x14ac:dyDescent="0.2">
      <c r="B132" s="114">
        <v>43724</v>
      </c>
      <c r="C132" s="115">
        <v>43724</v>
      </c>
      <c r="D132" s="116"/>
      <c r="E132" s="116"/>
      <c r="F132" s="117" t="s">
        <v>202</v>
      </c>
      <c r="G132" s="118">
        <v>120000</v>
      </c>
      <c r="H132" s="18" t="s">
        <v>5</v>
      </c>
      <c r="I132" s="19" t="e">
        <f>IF(Paid[[#This Row],[Currency]]="USD",Paid[[#This Row],[Montant]],Paid[[#This Row],[Montant]]/VLOOKUP(Paid[[#This Row],[Date Paid]],TableCurrencyRate[#All],2,FALSE))</f>
        <v>#N/A</v>
      </c>
    </row>
    <row r="133" spans="2:9" x14ac:dyDescent="0.2">
      <c r="B133" s="114">
        <v>43726</v>
      </c>
      <c r="C133" s="115">
        <v>43726</v>
      </c>
      <c r="D133" s="116"/>
      <c r="E133" s="116"/>
      <c r="F133" s="117" t="s">
        <v>203</v>
      </c>
      <c r="G133" s="118">
        <f>75100+500</f>
        <v>75600</v>
      </c>
      <c r="H133" s="18" t="s">
        <v>5</v>
      </c>
      <c r="I133" s="19" t="e">
        <f>IF(Paid[[#This Row],[Currency]]="USD",Paid[[#This Row],[Montant]],Paid[[#This Row],[Montant]]/VLOOKUP(Paid[[#This Row],[Date Paid]],TableCurrencyRate[#All],2,FALSE))</f>
        <v>#N/A</v>
      </c>
    </row>
    <row r="134" spans="2:9" x14ac:dyDescent="0.2">
      <c r="B134" s="57">
        <v>43726</v>
      </c>
      <c r="C134" s="9">
        <v>43726</v>
      </c>
      <c r="D134" s="10"/>
      <c r="E134" s="10"/>
      <c r="F134" s="11" t="s">
        <v>204</v>
      </c>
      <c r="G134" s="18">
        <f>280000-98000</f>
        <v>182000</v>
      </c>
      <c r="H134" s="18" t="s">
        <v>5</v>
      </c>
      <c r="I134" s="19" t="e">
        <f>IF(Paid[[#This Row],[Currency]]="USD",Paid[[#This Row],[Montant]],Paid[[#This Row],[Montant]]/VLOOKUP(Paid[[#This Row],[Date Paid]],TableCurrencyRate[#All],2,FALSE))</f>
        <v>#N/A</v>
      </c>
    </row>
    <row r="135" spans="2:9" x14ac:dyDescent="0.2">
      <c r="B135" s="57">
        <v>43726</v>
      </c>
      <c r="C135" s="9">
        <v>43726</v>
      </c>
      <c r="D135" s="10"/>
      <c r="E135" s="10"/>
      <c r="F135" s="11" t="s">
        <v>205</v>
      </c>
      <c r="G135" s="18">
        <v>588000</v>
      </c>
      <c r="H135" s="18" t="s">
        <v>5</v>
      </c>
      <c r="I135" s="19" t="e">
        <f>IF(Paid[[#This Row],[Currency]]="USD",Paid[[#This Row],[Montant]],Paid[[#This Row],[Montant]]/VLOOKUP(Paid[[#This Row],[Date Paid]],TableCurrencyRate[#All],2,FALSE))</f>
        <v>#N/A</v>
      </c>
    </row>
    <row r="136" spans="2:9" x14ac:dyDescent="0.2">
      <c r="B136" s="57">
        <v>43726</v>
      </c>
      <c r="C136" s="9">
        <v>43726</v>
      </c>
      <c r="D136" s="10"/>
      <c r="E136" s="10"/>
      <c r="F136" s="11" t="s">
        <v>206</v>
      </c>
      <c r="G136" s="18">
        <v>300000</v>
      </c>
      <c r="H136" s="18" t="s">
        <v>5</v>
      </c>
      <c r="I136" s="19" t="e">
        <f>IF(Paid[[#This Row],[Currency]]="USD",Paid[[#This Row],[Montant]],Paid[[#This Row],[Montant]]/VLOOKUP(Paid[[#This Row],[Date Paid]],TableCurrencyRate[#All],2,FALSE))</f>
        <v>#N/A</v>
      </c>
    </row>
    <row r="137" spans="2:9" x14ac:dyDescent="0.2">
      <c r="B137" s="57">
        <v>43726</v>
      </c>
      <c r="C137" s="9">
        <v>43726</v>
      </c>
      <c r="D137" s="10"/>
      <c r="E137" s="10"/>
      <c r="F137" s="11" t="s">
        <v>207</v>
      </c>
      <c r="G137" s="18">
        <v>43500</v>
      </c>
      <c r="H137" s="18" t="s">
        <v>5</v>
      </c>
      <c r="I137" s="19" t="e">
        <f>IF(Paid[[#This Row],[Currency]]="USD",Paid[[#This Row],[Montant]],Paid[[#This Row],[Montant]]/VLOOKUP(Paid[[#This Row],[Date Paid]],TableCurrencyRate[#All],2,FALSE))</f>
        <v>#N/A</v>
      </c>
    </row>
    <row r="138" spans="2:9" x14ac:dyDescent="0.2">
      <c r="B138" s="57">
        <v>43728</v>
      </c>
      <c r="C138" s="9">
        <v>43728</v>
      </c>
      <c r="D138" s="10"/>
      <c r="E138" s="10"/>
      <c r="F138" s="11" t="s">
        <v>208</v>
      </c>
      <c r="G138" s="18">
        <f>150000-7000</f>
        <v>143000</v>
      </c>
      <c r="H138" s="18" t="s">
        <v>5</v>
      </c>
      <c r="I138" s="19" t="e">
        <f>IF(Paid[[#This Row],[Currency]]="USD",Paid[[#This Row],[Montant]],Paid[[#This Row],[Montant]]/VLOOKUP(Paid[[#This Row],[Date Paid]],TableCurrencyRate[#All],2,FALSE))</f>
        <v>#N/A</v>
      </c>
    </row>
    <row r="139" spans="2:9" x14ac:dyDescent="0.2">
      <c r="B139" s="57">
        <v>43728</v>
      </c>
      <c r="C139" s="9">
        <v>43728</v>
      </c>
      <c r="D139" s="10"/>
      <c r="E139" s="10"/>
      <c r="F139" s="11" t="s">
        <v>209</v>
      </c>
      <c r="G139" s="18">
        <v>18450</v>
      </c>
      <c r="H139" s="18" t="s">
        <v>5</v>
      </c>
      <c r="I139" s="19" t="e">
        <f>IF(Paid[[#This Row],[Currency]]="USD",Paid[[#This Row],[Montant]],Paid[[#This Row],[Montant]]/VLOOKUP(Paid[[#This Row],[Date Paid]],TableCurrencyRate[#All],2,FALSE))</f>
        <v>#N/A</v>
      </c>
    </row>
    <row r="140" spans="2:9" x14ac:dyDescent="0.2">
      <c r="B140" s="12">
        <v>43729</v>
      </c>
      <c r="C140" s="9">
        <v>43728</v>
      </c>
      <c r="D140" s="10"/>
      <c r="E140" s="10"/>
      <c r="F140" s="11" t="s">
        <v>210</v>
      </c>
      <c r="G140" s="18">
        <f>150000-47300</f>
        <v>102700</v>
      </c>
      <c r="H140" s="18" t="s">
        <v>5</v>
      </c>
      <c r="I140" s="19" t="e">
        <f>IF(Paid[[#This Row],[Currency]]="USD",Paid[[#This Row],[Montant]],Paid[[#This Row],[Montant]]/VLOOKUP(Paid[[#This Row],[Date Paid]],TableCurrencyRate[#All],2,FALSE))</f>
        <v>#N/A</v>
      </c>
    </row>
    <row r="141" spans="2:9" x14ac:dyDescent="0.2">
      <c r="B141" s="57">
        <v>43731</v>
      </c>
      <c r="C141" s="9">
        <v>43728</v>
      </c>
      <c r="D141" s="10"/>
      <c r="E141" s="10"/>
      <c r="F141" s="11" t="s">
        <v>211</v>
      </c>
      <c r="G141" s="18">
        <v>112400</v>
      </c>
      <c r="H141" s="18" t="s">
        <v>5</v>
      </c>
      <c r="I141" s="19" t="e">
        <f>IF(Paid[[#This Row],[Currency]]="USD",Paid[[#This Row],[Montant]],Paid[[#This Row],[Montant]]/VLOOKUP(Paid[[#This Row],[Date Paid]],TableCurrencyRate[#All],2,FALSE))</f>
        <v>#N/A</v>
      </c>
    </row>
    <row r="142" spans="2:9" x14ac:dyDescent="0.2">
      <c r="B142" s="151">
        <v>43731</v>
      </c>
      <c r="C142" s="152">
        <v>43728</v>
      </c>
      <c r="D142" s="153"/>
      <c r="E142" s="153"/>
      <c r="F142" s="154" t="s">
        <v>41</v>
      </c>
      <c r="G142" s="155">
        <f>270000+77100</f>
        <v>347100</v>
      </c>
      <c r="H142" s="18" t="s">
        <v>5</v>
      </c>
      <c r="I142" s="19" t="e">
        <f>IF(Paid[[#This Row],[Currency]]="USD",Paid[[#This Row],[Montant]],Paid[[#This Row],[Montant]]/VLOOKUP(Paid[[#This Row],[Date Paid]],TableCurrencyRate[#All],2,FALSE))</f>
        <v>#N/A</v>
      </c>
    </row>
    <row r="143" spans="2:9" x14ac:dyDescent="0.2">
      <c r="B143" s="151">
        <v>43731</v>
      </c>
      <c r="C143" s="152">
        <v>43728</v>
      </c>
      <c r="D143" s="153"/>
      <c r="E143" s="153"/>
      <c r="F143" s="154" t="s">
        <v>212</v>
      </c>
      <c r="G143" s="155">
        <v>27425</v>
      </c>
      <c r="H143" s="18" t="s">
        <v>5</v>
      </c>
      <c r="I143" s="19" t="e">
        <f>IF(Paid[[#This Row],[Currency]]="USD",Paid[[#This Row],[Montant]],Paid[[#This Row],[Montant]]/VLOOKUP(Paid[[#This Row],[Date Paid]],TableCurrencyRate[#All],2,FALSE))</f>
        <v>#N/A</v>
      </c>
    </row>
    <row r="144" spans="2:9" x14ac:dyDescent="0.2">
      <c r="B144" s="12">
        <v>43735</v>
      </c>
      <c r="C144" s="9">
        <v>43735</v>
      </c>
      <c r="D144" s="10"/>
      <c r="E144" s="10"/>
      <c r="F144" s="11" t="s">
        <v>18</v>
      </c>
      <c r="G144" s="18">
        <v>373</v>
      </c>
      <c r="H144" s="18" t="s">
        <v>6</v>
      </c>
      <c r="I144" s="19">
        <f>IF(Paid[[#This Row],[Currency]]="USD",Paid[[#This Row],[Montant]],Paid[[#This Row],[Montant]]/VLOOKUP(Paid[[#This Row],[Date Paid]],TableCurrencyRate[#All],2,FALSE))</f>
        <v>373</v>
      </c>
    </row>
    <row r="145" spans="2:9" x14ac:dyDescent="0.2">
      <c r="B145" s="12">
        <v>43735</v>
      </c>
      <c r="C145" s="13">
        <v>43705</v>
      </c>
      <c r="D145" s="14"/>
      <c r="E145" s="14"/>
      <c r="F145" s="15" t="s">
        <v>152</v>
      </c>
      <c r="G145" s="21">
        <v>23000</v>
      </c>
      <c r="H145" s="16" t="s">
        <v>5</v>
      </c>
      <c r="I145" s="19" t="e">
        <f>IF(Paid[[#This Row],[Currency]]="USD",Paid[[#This Row],[Montant]],Paid[[#This Row],[Montant]]/VLOOKUP(Paid[[#This Row],[Date Paid]],TableCurrencyRate[#All],2,FALSE))</f>
        <v>#N/A</v>
      </c>
    </row>
    <row r="146" spans="2:9" x14ac:dyDescent="0.2">
      <c r="B146" s="12">
        <v>43735</v>
      </c>
      <c r="C146" s="9">
        <v>43705</v>
      </c>
      <c r="D146" s="10"/>
      <c r="E146" s="10"/>
      <c r="F146" s="11" t="s">
        <v>148</v>
      </c>
      <c r="G146" s="18">
        <v>20000</v>
      </c>
      <c r="H146" s="18" t="s">
        <v>5</v>
      </c>
      <c r="I146" s="19" t="e">
        <f>IF(Paid[[#This Row],[Currency]]="USD",Paid[[#This Row],[Montant]],Paid[[#This Row],[Montant]]/VLOOKUP(Paid[[#This Row],[Date Paid]],TableCurrencyRate[#All],2,FALSE))</f>
        <v>#N/A</v>
      </c>
    </row>
    <row r="147" spans="2:9" x14ac:dyDescent="0.2">
      <c r="B147" s="12">
        <v>43735</v>
      </c>
      <c r="C147" s="9">
        <v>43705</v>
      </c>
      <c r="D147" s="10"/>
      <c r="E147" s="10"/>
      <c r="F147" s="11" t="s">
        <v>142</v>
      </c>
      <c r="G147" s="18">
        <v>112000</v>
      </c>
      <c r="H147" s="18" t="s">
        <v>5</v>
      </c>
      <c r="I147" s="19" t="e">
        <f>IF(Paid[[#This Row],[Currency]]="USD",Paid[[#This Row],[Montant]],Paid[[#This Row],[Montant]]/VLOOKUP(Paid[[#This Row],[Date Paid]],TableCurrencyRate[#All],2,FALSE))</f>
        <v>#N/A</v>
      </c>
    </row>
    <row r="148" spans="2:9" x14ac:dyDescent="0.2">
      <c r="B148" s="12">
        <v>43735</v>
      </c>
      <c r="C148" s="9">
        <v>43705</v>
      </c>
      <c r="D148" s="10"/>
      <c r="E148" s="10"/>
      <c r="F148" s="11" t="s">
        <v>138</v>
      </c>
      <c r="G148" s="18">
        <v>12000</v>
      </c>
      <c r="H148" s="18" t="s">
        <v>5</v>
      </c>
      <c r="I148" s="19" t="e">
        <f>IF(Paid[[#This Row],[Currency]]="USD",Paid[[#This Row],[Montant]],Paid[[#This Row],[Montant]]/VLOOKUP(Paid[[#This Row],[Date Paid]],TableCurrencyRate[#All],2,FALSE))</f>
        <v>#N/A</v>
      </c>
    </row>
    <row r="149" spans="2:9" x14ac:dyDescent="0.2">
      <c r="B149" s="12">
        <v>43735</v>
      </c>
      <c r="C149" s="9">
        <v>43705</v>
      </c>
      <c r="D149" s="10"/>
      <c r="E149" s="10"/>
      <c r="F149" s="11" t="s">
        <v>139</v>
      </c>
      <c r="G149" s="18">
        <v>12000</v>
      </c>
      <c r="H149" s="18" t="s">
        <v>5</v>
      </c>
      <c r="I149" s="19" t="e">
        <f>IF(Paid[[#This Row],[Currency]]="USD",Paid[[#This Row],[Montant]],Paid[[#This Row],[Montant]]/VLOOKUP(Paid[[#This Row],[Date Paid]],TableCurrencyRate[#All],2,FALSE))</f>
        <v>#N/A</v>
      </c>
    </row>
    <row r="150" spans="2:9" x14ac:dyDescent="0.2">
      <c r="B150" s="12">
        <v>43735</v>
      </c>
      <c r="C150" s="9">
        <v>43705</v>
      </c>
      <c r="D150" s="10"/>
      <c r="E150" s="10"/>
      <c r="F150" s="11" t="s">
        <v>143</v>
      </c>
      <c r="G150" s="18">
        <v>12000</v>
      </c>
      <c r="H150" s="18" t="s">
        <v>5</v>
      </c>
      <c r="I150" s="19" t="e">
        <f>IF(Paid[[#This Row],[Currency]]="USD",Paid[[#This Row],[Montant]],Paid[[#This Row],[Montant]]/VLOOKUP(Paid[[#This Row],[Date Paid]],TableCurrencyRate[#All],2,FALSE))</f>
        <v>#N/A</v>
      </c>
    </row>
    <row r="151" spans="2:9" x14ac:dyDescent="0.2">
      <c r="B151" s="12">
        <v>43735</v>
      </c>
      <c r="C151" s="9">
        <v>43705</v>
      </c>
      <c r="D151" s="10"/>
      <c r="E151" s="10"/>
      <c r="F151" s="11" t="s">
        <v>144</v>
      </c>
      <c r="G151" s="18">
        <v>12000</v>
      </c>
      <c r="H151" s="18" t="s">
        <v>5</v>
      </c>
      <c r="I151" s="19" t="e">
        <f>IF(Paid[[#This Row],[Currency]]="USD",Paid[[#This Row],[Montant]],Paid[[#This Row],[Montant]]/VLOOKUP(Paid[[#This Row],[Date Paid]],TableCurrencyRate[#All],2,FALSE))</f>
        <v>#N/A</v>
      </c>
    </row>
    <row r="152" spans="2:9" x14ac:dyDescent="0.2">
      <c r="B152" s="12">
        <v>43735</v>
      </c>
      <c r="C152" s="9">
        <v>43705</v>
      </c>
      <c r="D152" s="10"/>
      <c r="E152" s="10"/>
      <c r="F152" s="11" t="s">
        <v>147</v>
      </c>
      <c r="G152" s="18">
        <v>9000</v>
      </c>
      <c r="H152" s="18" t="s">
        <v>5</v>
      </c>
      <c r="I152" s="19" t="e">
        <f>IF(Paid[[#This Row],[Currency]]="USD",Paid[[#This Row],[Montant]],Paid[[#This Row],[Montant]]/VLOOKUP(Paid[[#This Row],[Date Paid]],TableCurrencyRate[#All],2,FALSE))</f>
        <v>#N/A</v>
      </c>
    </row>
    <row r="153" spans="2:9" x14ac:dyDescent="0.2">
      <c r="B153" s="12">
        <v>43735</v>
      </c>
      <c r="C153" s="9">
        <v>43705</v>
      </c>
      <c r="D153" s="10"/>
      <c r="E153" s="10"/>
      <c r="F153" s="11" t="s">
        <v>146</v>
      </c>
      <c r="G153" s="18">
        <v>15000</v>
      </c>
      <c r="H153" s="18" t="s">
        <v>5</v>
      </c>
      <c r="I153" s="19" t="e">
        <f>IF(Paid[[#This Row],[Currency]]="USD",Paid[[#This Row],[Montant]],Paid[[#This Row],[Montant]]/VLOOKUP(Paid[[#This Row],[Date Paid]],TableCurrencyRate[#All],2,FALSE))</f>
        <v>#N/A</v>
      </c>
    </row>
    <row r="154" spans="2:9" x14ac:dyDescent="0.2">
      <c r="B154" s="12">
        <v>43735</v>
      </c>
      <c r="C154" s="9">
        <v>43705</v>
      </c>
      <c r="D154" s="10"/>
      <c r="E154" s="10"/>
      <c r="F154" s="11" t="s">
        <v>145</v>
      </c>
      <c r="G154" s="18">
        <v>12000</v>
      </c>
      <c r="H154" s="18" t="s">
        <v>5</v>
      </c>
      <c r="I154" s="19" t="e">
        <f>IF(Paid[[#This Row],[Currency]]="USD",Paid[[#This Row],[Montant]],Paid[[#This Row],[Montant]]/VLOOKUP(Paid[[#This Row],[Date Paid]],TableCurrencyRate[#All],2,FALSE))</f>
        <v>#N/A</v>
      </c>
    </row>
    <row r="155" spans="2:9" x14ac:dyDescent="0.2">
      <c r="B155" s="12">
        <v>43735</v>
      </c>
      <c r="C155" s="9">
        <v>43705</v>
      </c>
      <c r="D155" s="10"/>
      <c r="E155" s="10"/>
      <c r="F155" s="11" t="s">
        <v>213</v>
      </c>
      <c r="G155" s="18">
        <v>12000</v>
      </c>
      <c r="H155" s="18" t="s">
        <v>5</v>
      </c>
      <c r="I155" s="19" t="e">
        <f>IF(Paid[[#This Row],[Currency]]="USD",Paid[[#This Row],[Montant]],Paid[[#This Row],[Montant]]/VLOOKUP(Paid[[#This Row],[Date Paid]],TableCurrencyRate[#All],2,FALSE))</f>
        <v>#N/A</v>
      </c>
    </row>
    <row r="156" spans="2:9" x14ac:dyDescent="0.2">
      <c r="B156" s="12">
        <v>43735</v>
      </c>
      <c r="C156" s="9">
        <v>43705</v>
      </c>
      <c r="D156" s="10"/>
      <c r="E156" s="10"/>
      <c r="F156" s="11" t="s">
        <v>140</v>
      </c>
      <c r="G156" s="18">
        <v>40000</v>
      </c>
      <c r="H156" s="18" t="s">
        <v>5</v>
      </c>
      <c r="I156" s="19" t="e">
        <f>IF(Paid[[#This Row],[Currency]]="USD",Paid[[#This Row],[Montant]],Paid[[#This Row],[Montant]]/VLOOKUP(Paid[[#This Row],[Date Paid]],TableCurrencyRate[#All],2,FALSE))</f>
        <v>#N/A</v>
      </c>
    </row>
    <row r="157" spans="2:9" x14ac:dyDescent="0.2">
      <c r="B157" s="12">
        <v>43735</v>
      </c>
      <c r="C157" s="9">
        <v>43705</v>
      </c>
      <c r="D157" s="10"/>
      <c r="E157" s="10"/>
      <c r="F157" s="11" t="s">
        <v>141</v>
      </c>
      <c r="G157" s="18">
        <v>41000</v>
      </c>
      <c r="H157" s="18" t="s">
        <v>5</v>
      </c>
      <c r="I157" s="19" t="e">
        <f>IF(Paid[[#This Row],[Currency]]="USD",Paid[[#This Row],[Montant]],Paid[[#This Row],[Montant]]/VLOOKUP(Paid[[#This Row],[Date Paid]],TableCurrencyRate[#All],2,FALSE))</f>
        <v>#N/A</v>
      </c>
    </row>
    <row r="158" spans="2:9" x14ac:dyDescent="0.2">
      <c r="B158" s="12">
        <v>43735</v>
      </c>
      <c r="C158" s="9">
        <v>43705</v>
      </c>
      <c r="D158" s="10"/>
      <c r="E158" s="10"/>
      <c r="F158" s="11" t="s">
        <v>150</v>
      </c>
      <c r="G158" s="18">
        <v>35000</v>
      </c>
      <c r="H158" s="18" t="s">
        <v>5</v>
      </c>
      <c r="I158" s="19" t="e">
        <f>IF(Paid[[#This Row],[Currency]]="USD",Paid[[#This Row],[Montant]],Paid[[#This Row],[Montant]]/VLOOKUP(Paid[[#This Row],[Date Paid]],TableCurrencyRate[#All],2,FALSE))</f>
        <v>#N/A</v>
      </c>
    </row>
    <row r="159" spans="2:9" x14ac:dyDescent="0.2">
      <c r="B159" s="12">
        <v>43735</v>
      </c>
      <c r="C159" s="9">
        <v>43705</v>
      </c>
      <c r="D159" s="10"/>
      <c r="E159" s="10"/>
      <c r="F159" s="11" t="s">
        <v>214</v>
      </c>
      <c r="G159" s="18">
        <v>41000</v>
      </c>
      <c r="H159" s="18" t="s">
        <v>5</v>
      </c>
      <c r="I159" s="19" t="e">
        <f>IF(Paid[[#This Row],[Currency]]="USD",Paid[[#This Row],[Montant]],Paid[[#This Row],[Montant]]/VLOOKUP(Paid[[#This Row],[Date Paid]],TableCurrencyRate[#All],2,FALSE))</f>
        <v>#N/A</v>
      </c>
    </row>
    <row r="160" spans="2:9" x14ac:dyDescent="0.2">
      <c r="B160" s="12">
        <v>43735</v>
      </c>
      <c r="C160" s="9">
        <v>43705</v>
      </c>
      <c r="D160" s="10"/>
      <c r="E160" s="10"/>
      <c r="F160" s="11" t="s">
        <v>151</v>
      </c>
      <c r="G160" s="18">
        <v>33500</v>
      </c>
      <c r="H160" s="18" t="s">
        <v>5</v>
      </c>
      <c r="I160" s="19" t="e">
        <f>IF(Paid[[#This Row],[Currency]]="USD",Paid[[#This Row],[Montant]],Paid[[#This Row],[Montant]]/VLOOKUP(Paid[[#This Row],[Date Paid]],TableCurrencyRate[#All],2,FALSE))</f>
        <v>#N/A</v>
      </c>
    </row>
    <row r="161" spans="2:9" x14ac:dyDescent="0.2">
      <c r="B161" s="12">
        <v>43735</v>
      </c>
      <c r="C161" s="9">
        <v>43705</v>
      </c>
      <c r="D161" s="10"/>
      <c r="E161" s="10"/>
      <c r="F161" s="11" t="s">
        <v>153</v>
      </c>
      <c r="G161" s="18">
        <v>24000</v>
      </c>
      <c r="H161" s="18" t="s">
        <v>5</v>
      </c>
      <c r="I161" s="19" t="e">
        <f>IF(Paid[[#This Row],[Currency]]="USD",Paid[[#This Row],[Montant]],Paid[[#This Row],[Montant]]/VLOOKUP(Paid[[#This Row],[Date Paid]],TableCurrencyRate[#All],2,FALSE))</f>
        <v>#N/A</v>
      </c>
    </row>
    <row r="162" spans="2:9" x14ac:dyDescent="0.2">
      <c r="B162" s="12">
        <v>43735</v>
      </c>
      <c r="C162" s="9">
        <v>43705</v>
      </c>
      <c r="D162" s="10"/>
      <c r="E162" s="10"/>
      <c r="F162" s="11" t="s">
        <v>149</v>
      </c>
      <c r="G162" s="18">
        <v>49000</v>
      </c>
      <c r="H162" s="18" t="s">
        <v>5</v>
      </c>
      <c r="I162" s="19" t="e">
        <f>IF(Paid[[#This Row],[Currency]]="USD",Paid[[#This Row],[Montant]],Paid[[#This Row],[Montant]]/VLOOKUP(Paid[[#This Row],[Date Paid]],TableCurrencyRate[#All],2,FALSE))</f>
        <v>#N/A</v>
      </c>
    </row>
    <row r="163" spans="2:9" x14ac:dyDescent="0.2">
      <c r="B163" s="12">
        <v>43735</v>
      </c>
      <c r="C163" s="9">
        <v>43705</v>
      </c>
      <c r="D163" s="10"/>
      <c r="E163" s="10"/>
      <c r="F163" s="11" t="s">
        <v>215</v>
      </c>
      <c r="G163" s="18">
        <v>61500</v>
      </c>
      <c r="H163" s="18" t="s">
        <v>5</v>
      </c>
      <c r="I163" s="19" t="e">
        <f>IF(Paid[[#This Row],[Currency]]="USD",Paid[[#This Row],[Montant]],Paid[[#This Row],[Montant]]/VLOOKUP(Paid[[#This Row],[Date Paid]],TableCurrencyRate[#All],2,FALSE))</f>
        <v>#N/A</v>
      </c>
    </row>
    <row r="164" spans="2:9" x14ac:dyDescent="0.2">
      <c r="B164" s="12">
        <v>43735</v>
      </c>
      <c r="C164" s="9">
        <v>43706</v>
      </c>
      <c r="D164" s="10"/>
      <c r="E164" s="10"/>
      <c r="F164" s="11" t="s">
        <v>216</v>
      </c>
      <c r="G164" s="18">
        <v>12900</v>
      </c>
      <c r="H164" s="18" t="s">
        <v>5</v>
      </c>
      <c r="I164" s="19" t="e">
        <f>IF(Paid[[#This Row],[Currency]]="USD",Paid[[#This Row],[Montant]],Paid[[#This Row],[Montant]]/VLOOKUP(Paid[[#This Row],[Date Paid]],TableCurrencyRate[#All],2,FALSE))</f>
        <v>#N/A</v>
      </c>
    </row>
    <row r="165" spans="2:9" x14ac:dyDescent="0.2">
      <c r="B165" s="12">
        <v>43735</v>
      </c>
      <c r="C165" s="9">
        <v>43707</v>
      </c>
      <c r="D165" s="10"/>
      <c r="E165" s="10"/>
      <c r="F165" s="11" t="s">
        <v>217</v>
      </c>
      <c r="G165" s="18">
        <v>34400</v>
      </c>
      <c r="H165" s="18" t="s">
        <v>5</v>
      </c>
      <c r="I165" s="19" t="e">
        <f>IF(Paid[[#This Row],[Currency]]="USD",Paid[[#This Row],[Montant]],Paid[[#This Row],[Montant]]/VLOOKUP(Paid[[#This Row],[Date Paid]],TableCurrencyRate[#All],2,FALSE))</f>
        <v>#N/A</v>
      </c>
    </row>
    <row r="166" spans="2:9" x14ac:dyDescent="0.2">
      <c r="B166" s="12">
        <v>43735</v>
      </c>
      <c r="C166" s="9">
        <v>43735</v>
      </c>
      <c r="D166" s="10"/>
      <c r="E166" s="10"/>
      <c r="F166" s="11" t="s">
        <v>218</v>
      </c>
      <c r="G166" s="18">
        <v>9000</v>
      </c>
      <c r="H166" s="18" t="s">
        <v>5</v>
      </c>
      <c r="I166" s="19" t="e">
        <f>IF(Paid[[#This Row],[Currency]]="USD",Paid[[#This Row],[Montant]],Paid[[#This Row],[Montant]]/VLOOKUP(Paid[[#This Row],[Date Paid]],TableCurrencyRate[#All],2,FALSE))</f>
        <v>#N/A</v>
      </c>
    </row>
    <row r="167" spans="2:9" x14ac:dyDescent="0.2">
      <c r="B167" s="12">
        <v>43735</v>
      </c>
      <c r="C167" s="13">
        <v>43731</v>
      </c>
      <c r="D167" s="14"/>
      <c r="E167" s="14"/>
      <c r="F167" s="15" t="s">
        <v>133</v>
      </c>
      <c r="G167" s="21">
        <f>270000-55797</f>
        <v>214203</v>
      </c>
      <c r="H167" s="16" t="s">
        <v>5</v>
      </c>
      <c r="I167" s="19" t="e">
        <f>IF(Paid[[#This Row],[Currency]]="USD",Paid[[#This Row],[Montant]],Paid[[#This Row],[Montant]]/VLOOKUP(Paid[[#This Row],[Date Paid]],TableCurrencyRate[#All],2,FALSE))</f>
        <v>#N/A</v>
      </c>
    </row>
    <row r="168" spans="2:9" x14ac:dyDescent="0.2">
      <c r="B168" s="12">
        <v>43735</v>
      </c>
      <c r="C168" s="13">
        <v>43734</v>
      </c>
      <c r="D168" s="14"/>
      <c r="E168" s="14"/>
      <c r="F168" s="15" t="s">
        <v>219</v>
      </c>
      <c r="G168" s="21">
        <v>19200</v>
      </c>
      <c r="H168" s="16" t="s">
        <v>5</v>
      </c>
      <c r="I168" s="19" t="e">
        <f>IF(Paid[[#This Row],[Currency]]="USD",Paid[[#This Row],[Montant]],Paid[[#This Row],[Montant]]/VLOOKUP(Paid[[#This Row],[Date Paid]],TableCurrencyRate[#All],2,FALSE))</f>
        <v>#N/A</v>
      </c>
    </row>
    <row r="169" spans="2:9" x14ac:dyDescent="0.2">
      <c r="B169" s="12">
        <v>43735</v>
      </c>
      <c r="C169" s="13">
        <v>43732</v>
      </c>
      <c r="D169" s="14"/>
      <c r="E169" s="14"/>
      <c r="F169" s="15" t="s">
        <v>137</v>
      </c>
      <c r="G169" s="21">
        <v>149750</v>
      </c>
      <c r="H169" s="16" t="s">
        <v>5</v>
      </c>
      <c r="I169" s="19" t="e">
        <f>IF(Paid[[#This Row],[Currency]]="USD",Paid[[#This Row],[Montant]],Paid[[#This Row],[Montant]]/VLOOKUP(Paid[[#This Row],[Date Paid]],TableCurrencyRate[#All],2,FALSE))</f>
        <v>#N/A</v>
      </c>
    </row>
    <row r="170" spans="2:9" x14ac:dyDescent="0.2">
      <c r="B170" s="12">
        <v>43735</v>
      </c>
      <c r="C170" s="13">
        <v>43733</v>
      </c>
      <c r="D170" s="14"/>
      <c r="E170" s="14"/>
      <c r="F170" s="15" t="s">
        <v>132</v>
      </c>
      <c r="G170" s="28">
        <v>111900</v>
      </c>
      <c r="H170" s="16" t="s">
        <v>5</v>
      </c>
      <c r="I170" s="19" t="e">
        <f>IF(Paid[[#This Row],[Currency]]="USD",Paid[[#This Row],[Montant]],Paid[[#This Row],[Montant]]/VLOOKUP(Paid[[#This Row],[Date Paid]],TableCurrencyRate[#All],2,FALSE))</f>
        <v>#N/A</v>
      </c>
    </row>
    <row r="171" spans="2:9" x14ac:dyDescent="0.2">
      <c r="B171" s="12">
        <v>43735</v>
      </c>
      <c r="C171" s="13">
        <v>43708</v>
      </c>
      <c r="D171" s="14"/>
      <c r="E171" s="14"/>
      <c r="F171" s="15" t="s">
        <v>21</v>
      </c>
      <c r="G171" s="21">
        <v>322248</v>
      </c>
      <c r="H171" s="16" t="s">
        <v>5</v>
      </c>
      <c r="I171" s="19" t="e">
        <f>IF(Paid[[#This Row],[Currency]]="USD",Paid[[#This Row],[Montant]],Paid[[#This Row],[Montant]]/VLOOKUP(Paid[[#This Row],[Date Paid]],TableCurrencyRate[#All],2,FALSE))</f>
        <v>#N/A</v>
      </c>
    </row>
    <row r="172" spans="2:9" x14ac:dyDescent="0.2">
      <c r="B172" s="12">
        <v>43735</v>
      </c>
      <c r="C172" s="9">
        <v>43723</v>
      </c>
      <c r="D172" s="10"/>
      <c r="E172" s="10"/>
      <c r="F172" s="11" t="s">
        <v>21</v>
      </c>
      <c r="G172" s="18">
        <v>232155</v>
      </c>
      <c r="H172" s="18" t="s">
        <v>5</v>
      </c>
      <c r="I172" s="19" t="e">
        <f>IF(Paid[[#This Row],[Currency]]="USD",Paid[[#This Row],[Montant]],Paid[[#This Row],[Montant]]/VLOOKUP(Paid[[#This Row],[Date Paid]],TableCurrencyRate[#All],2,FALSE))</f>
        <v>#N/A</v>
      </c>
    </row>
    <row r="173" spans="2:9" x14ac:dyDescent="0.2">
      <c r="B173" s="12">
        <v>43735</v>
      </c>
      <c r="C173" s="9">
        <v>43714</v>
      </c>
      <c r="D173" s="10"/>
      <c r="E173" s="10"/>
      <c r="F173" s="11" t="s">
        <v>23</v>
      </c>
      <c r="G173" s="18">
        <f>50000+4000</f>
        <v>54000</v>
      </c>
      <c r="H173" s="18" t="s">
        <v>5</v>
      </c>
      <c r="I173" s="19" t="e">
        <f>IF(Paid[[#This Row],[Currency]]="USD",Paid[[#This Row],[Montant]],Paid[[#This Row],[Montant]]/VLOOKUP(Paid[[#This Row],[Date Paid]],TableCurrencyRate[#All],2,FALSE))</f>
        <v>#N/A</v>
      </c>
    </row>
    <row r="174" spans="2:9" x14ac:dyDescent="0.2">
      <c r="B174" s="12">
        <v>43735</v>
      </c>
      <c r="C174" s="9">
        <v>43731</v>
      </c>
      <c r="D174" s="10"/>
      <c r="E174" s="10"/>
      <c r="F174" s="11" t="s">
        <v>136</v>
      </c>
      <c r="G174" s="18">
        <v>612000</v>
      </c>
      <c r="H174" s="18" t="s">
        <v>5</v>
      </c>
      <c r="I174" s="19" t="e">
        <f>IF(Paid[[#This Row],[Currency]]="USD",Paid[[#This Row],[Montant]],Paid[[#This Row],[Montant]]/VLOOKUP(Paid[[#This Row],[Date Paid]],TableCurrencyRate[#All],2,FALSE))</f>
        <v>#N/A</v>
      </c>
    </row>
    <row r="175" spans="2:9" x14ac:dyDescent="0.2">
      <c r="B175" s="12">
        <v>43735</v>
      </c>
      <c r="C175" s="9">
        <v>43731</v>
      </c>
      <c r="D175" s="10"/>
      <c r="E175" s="10"/>
      <c r="F175" s="11" t="s">
        <v>135</v>
      </c>
      <c r="G175" s="18">
        <v>374400</v>
      </c>
      <c r="H175" s="18" t="s">
        <v>5</v>
      </c>
      <c r="I175" s="19" t="e">
        <f>IF(Paid[[#This Row],[Currency]]="USD",Paid[[#This Row],[Montant]],Paid[[#This Row],[Montant]]/VLOOKUP(Paid[[#This Row],[Date Paid]],TableCurrencyRate[#All],2,FALSE))</f>
        <v>#N/A</v>
      </c>
    </row>
    <row r="176" spans="2:9" x14ac:dyDescent="0.2">
      <c r="B176" s="12">
        <v>43735</v>
      </c>
      <c r="C176" s="9">
        <v>43731</v>
      </c>
      <c r="D176" s="10"/>
      <c r="E176" s="10"/>
      <c r="F176" s="11" t="s">
        <v>134</v>
      </c>
      <c r="G176" s="18">
        <v>1083000</v>
      </c>
      <c r="H176" s="18" t="s">
        <v>5</v>
      </c>
      <c r="I176" s="19" t="e">
        <f>IF(Paid[[#This Row],[Currency]]="USD",Paid[[#This Row],[Montant]],Paid[[#This Row],[Montant]]/VLOOKUP(Paid[[#This Row],[Date Paid]],TableCurrencyRate[#All],2,FALSE))</f>
        <v>#N/A</v>
      </c>
    </row>
    <row r="177" spans="2:9" x14ac:dyDescent="0.2">
      <c r="B177" s="12">
        <v>43735</v>
      </c>
      <c r="C177" s="9">
        <v>43735</v>
      </c>
      <c r="D177" s="10"/>
      <c r="E177" s="10"/>
      <c r="F177" s="11" t="s">
        <v>83</v>
      </c>
      <c r="G177" s="18">
        <v>1600</v>
      </c>
      <c r="H177" s="18" t="s">
        <v>5</v>
      </c>
      <c r="I177" s="19" t="e">
        <f>IF(Paid[[#This Row],[Currency]]="USD",Paid[[#This Row],[Montant]],Paid[[#This Row],[Montant]]/VLOOKUP(Paid[[#This Row],[Date Paid]],TableCurrencyRate[#All],2,FALSE))</f>
        <v>#N/A</v>
      </c>
    </row>
    <row r="178" spans="2:9" x14ac:dyDescent="0.2">
      <c r="B178" s="12">
        <v>43741</v>
      </c>
      <c r="C178" s="9">
        <v>43741</v>
      </c>
      <c r="D178" s="10"/>
      <c r="E178" s="10"/>
      <c r="F178" s="11" t="s">
        <v>193</v>
      </c>
      <c r="G178" s="18">
        <v>22462394</v>
      </c>
      <c r="H178" s="18" t="s">
        <v>5</v>
      </c>
      <c r="I178" s="19" t="e">
        <f>IF(Paid[[#This Row],[Currency]]="USD",Paid[[#This Row],[Montant]],Paid[[#This Row],[Montant]]/VLOOKUP(Paid[[#This Row],[Date Paid]],TableCurrencyRate[#All],2,FALSE))</f>
        <v>#N/A</v>
      </c>
    </row>
    <row r="179" spans="2:9" x14ac:dyDescent="0.2">
      <c r="B179" s="12">
        <v>43742</v>
      </c>
      <c r="C179" s="9">
        <v>43742</v>
      </c>
      <c r="D179" s="10"/>
      <c r="E179" s="10" t="s">
        <v>61</v>
      </c>
      <c r="F179" s="11" t="s">
        <v>220</v>
      </c>
      <c r="G179" s="18">
        <v>829440</v>
      </c>
      <c r="H179" s="18" t="s">
        <v>5</v>
      </c>
      <c r="I179" s="19" t="e">
        <f>IF(Paid[[#This Row],[Currency]]="USD",Paid[[#This Row],[Montant]],Paid[[#This Row],[Montant]]/VLOOKUP(Paid[[#This Row],[Date Paid]],TableCurrencyRate[#All],2,FALSE))</f>
        <v>#N/A</v>
      </c>
    </row>
    <row r="180" spans="2:9" x14ac:dyDescent="0.2">
      <c r="B180" s="12">
        <v>43743</v>
      </c>
      <c r="C180" s="13">
        <v>43672</v>
      </c>
      <c r="D180" s="14"/>
      <c r="E180" s="14"/>
      <c r="F180" s="15" t="s">
        <v>89</v>
      </c>
      <c r="G180" s="21">
        <v>22700</v>
      </c>
      <c r="H180" s="16" t="s">
        <v>5</v>
      </c>
      <c r="I180" s="19" t="e">
        <f>IF(Paid[[#This Row],[Currency]]="USD",Paid[[#This Row],[Montant]],Paid[[#This Row],[Montant]]/VLOOKUP(Paid[[#This Row],[Date Paid]],TableCurrencyRate[#All],2,FALSE))</f>
        <v>#N/A</v>
      </c>
    </row>
    <row r="181" spans="2:9" x14ac:dyDescent="0.2">
      <c r="B181" s="12">
        <v>43743</v>
      </c>
      <c r="C181" s="13">
        <v>43740</v>
      </c>
      <c r="D181" s="14"/>
      <c r="E181" s="14"/>
      <c r="F181" s="15" t="s">
        <v>155</v>
      </c>
      <c r="G181" s="21">
        <f>1045000-14500</f>
        <v>1030500</v>
      </c>
      <c r="H181" s="16" t="s">
        <v>5</v>
      </c>
      <c r="I181" s="19" t="e">
        <f>IF(Paid[[#This Row],[Currency]]="USD",Paid[[#This Row],[Montant]],Paid[[#This Row],[Montant]]/VLOOKUP(Paid[[#This Row],[Date Paid]],TableCurrencyRate[#All],2,FALSE))</f>
        <v>#N/A</v>
      </c>
    </row>
    <row r="182" spans="2:9" x14ac:dyDescent="0.2">
      <c r="B182" s="12">
        <v>43743</v>
      </c>
      <c r="C182" s="9">
        <v>43738</v>
      </c>
      <c r="D182" s="10"/>
      <c r="E182" s="10"/>
      <c r="F182" s="11" t="s">
        <v>157</v>
      </c>
      <c r="G182" s="18">
        <f>270000+74200</f>
        <v>344200</v>
      </c>
      <c r="H182" s="18" t="s">
        <v>5</v>
      </c>
      <c r="I182" s="19" t="e">
        <f>IF(Paid[[#This Row],[Currency]]="USD",Paid[[#This Row],[Montant]],Paid[[#This Row],[Montant]]/VLOOKUP(Paid[[#This Row],[Date Paid]],TableCurrencyRate[#All],2,FALSE))</f>
        <v>#N/A</v>
      </c>
    </row>
    <row r="183" spans="2:9" x14ac:dyDescent="0.2">
      <c r="B183" s="12">
        <v>43743</v>
      </c>
      <c r="C183" s="9">
        <v>43735</v>
      </c>
      <c r="D183" s="10"/>
      <c r="E183" s="10"/>
      <c r="F183" s="11" t="s">
        <v>158</v>
      </c>
      <c r="G183" s="18">
        <f>88500-27400</f>
        <v>61100</v>
      </c>
      <c r="H183" s="18" t="s">
        <v>5</v>
      </c>
      <c r="I183" s="19" t="e">
        <f>IF(Paid[[#This Row],[Currency]]="USD",Paid[[#This Row],[Montant]],Paid[[#This Row],[Montant]]/VLOOKUP(Paid[[#This Row],[Date Paid]],TableCurrencyRate[#All],2,FALSE))</f>
        <v>#N/A</v>
      </c>
    </row>
    <row r="184" spans="2:9" x14ac:dyDescent="0.2">
      <c r="B184" s="12">
        <v>43743</v>
      </c>
      <c r="C184" s="9">
        <v>43739</v>
      </c>
      <c r="D184" s="10"/>
      <c r="E184" s="10"/>
      <c r="F184" s="11" t="s">
        <v>156</v>
      </c>
      <c r="G184" s="18">
        <v>35000</v>
      </c>
      <c r="H184" s="18" t="s">
        <v>5</v>
      </c>
      <c r="I184" s="19" t="e">
        <f>IF(Paid[[#This Row],[Currency]]="USD",Paid[[#This Row],[Montant]],Paid[[#This Row],[Montant]]/VLOOKUP(Paid[[#This Row],[Date Paid]],TableCurrencyRate[#All],2,FALSE))</f>
        <v>#N/A</v>
      </c>
    </row>
    <row r="185" spans="2:9" x14ac:dyDescent="0.2">
      <c r="B185" s="12">
        <v>43743</v>
      </c>
      <c r="C185" s="9">
        <v>43740</v>
      </c>
      <c r="D185" s="10"/>
      <c r="E185" s="10"/>
      <c r="F185" s="11" t="s">
        <v>154</v>
      </c>
      <c r="G185" s="18">
        <f>60000-16150</f>
        <v>43850</v>
      </c>
      <c r="H185" s="18" t="s">
        <v>5</v>
      </c>
      <c r="I185" s="19" t="e">
        <f>IF(Paid[[#This Row],[Currency]]="USD",Paid[[#This Row],[Montant]],Paid[[#This Row],[Montant]]/VLOOKUP(Paid[[#This Row],[Date Paid]],TableCurrencyRate[#All],2,FALSE))</f>
        <v>#N/A</v>
      </c>
    </row>
    <row r="186" spans="2:9" x14ac:dyDescent="0.2">
      <c r="B186" s="12">
        <v>43747</v>
      </c>
      <c r="C186" s="9">
        <v>43747</v>
      </c>
      <c r="D186" s="10" t="s">
        <v>46</v>
      </c>
      <c r="E186" s="10"/>
      <c r="F186" s="11" t="s">
        <v>29</v>
      </c>
      <c r="G186" s="18">
        <v>185275</v>
      </c>
      <c r="H186" s="18" t="s">
        <v>5</v>
      </c>
      <c r="I186" s="19" t="e">
        <f>IF(Paid[[#This Row],[Currency]]="USD",Paid[[#This Row],[Montant]],Paid[[#This Row],[Montant]]/VLOOKUP(Paid[[#This Row],[Date Paid]],TableCurrencyRate[#All],2,FALSE))</f>
        <v>#N/A</v>
      </c>
    </row>
    <row r="187" spans="2:9" x14ac:dyDescent="0.2">
      <c r="B187" s="12">
        <v>43747</v>
      </c>
      <c r="C187" s="9">
        <v>43747</v>
      </c>
      <c r="D187" s="10"/>
      <c r="E187" s="10"/>
      <c r="F187" s="11" t="s">
        <v>19</v>
      </c>
      <c r="G187" s="18">
        <f>200000-25200</f>
        <v>174800</v>
      </c>
      <c r="H187" s="18" t="s">
        <v>5</v>
      </c>
      <c r="I187" s="19" t="e">
        <f>IF(Paid[[#This Row],[Currency]]="USD",Paid[[#This Row],[Montant]],Paid[[#This Row],[Montant]]/VLOOKUP(Paid[[#This Row],[Date Paid]],TableCurrencyRate[#All],2,FALSE))</f>
        <v>#N/A</v>
      </c>
    </row>
    <row r="188" spans="2:9" x14ac:dyDescent="0.2">
      <c r="B188" s="36">
        <v>43748</v>
      </c>
      <c r="C188" s="13">
        <v>43738</v>
      </c>
      <c r="D188" s="14"/>
      <c r="E188" s="14"/>
      <c r="F188" s="15" t="s">
        <v>167</v>
      </c>
      <c r="G188" s="29">
        <v>600000</v>
      </c>
      <c r="H188" s="16" t="s">
        <v>5</v>
      </c>
      <c r="I188" s="35" t="e">
        <f>IF(Paid[[#This Row],[Currency]]="USD",Paid[[#This Row],[Montant]],Paid[[#This Row],[Montant]]/VLOOKUP(Paid[[#This Row],[Date Paid]],TableCurrencyRate[#All],2,FALSE))</f>
        <v>#N/A</v>
      </c>
    </row>
    <row r="189" spans="2:9" x14ac:dyDescent="0.2">
      <c r="B189" s="30">
        <v>43748</v>
      </c>
      <c r="C189" s="31">
        <v>43738</v>
      </c>
      <c r="D189" s="32"/>
      <c r="E189" s="32"/>
      <c r="F189" s="33" t="s">
        <v>168</v>
      </c>
      <c r="G189" s="34">
        <v>800000</v>
      </c>
      <c r="H189" s="34" t="s">
        <v>5</v>
      </c>
      <c r="I189" s="35" t="e">
        <f>IF(Paid[[#This Row],[Currency]]="USD",Paid[[#This Row],[Montant]],Paid[[#This Row],[Montant]]/VLOOKUP(Paid[[#This Row],[Date Paid]],TableCurrencyRate[#All],2,FALSE))</f>
        <v>#N/A</v>
      </c>
    </row>
    <row r="190" spans="2:9" x14ac:dyDescent="0.2">
      <c r="B190" s="36">
        <v>43748</v>
      </c>
      <c r="C190" s="31">
        <v>43738</v>
      </c>
      <c r="D190" s="32"/>
      <c r="E190" s="32"/>
      <c r="F190" s="33" t="s">
        <v>169</v>
      </c>
      <c r="G190" s="34">
        <v>700000</v>
      </c>
      <c r="H190" s="34" t="s">
        <v>5</v>
      </c>
      <c r="I190" s="35" t="e">
        <f>IF(Paid[[#This Row],[Currency]]="USD",Paid[[#This Row],[Montant]],Paid[[#This Row],[Montant]]/VLOOKUP(Paid[[#This Row],[Date Paid]],TableCurrencyRate[#All],2,FALSE))</f>
        <v>#N/A</v>
      </c>
    </row>
    <row r="191" spans="2:9" x14ac:dyDescent="0.2">
      <c r="B191" s="30">
        <v>43748</v>
      </c>
      <c r="C191" s="31">
        <v>43747</v>
      </c>
      <c r="D191" s="32"/>
      <c r="E191" s="32"/>
      <c r="F191" s="33" t="s">
        <v>171</v>
      </c>
      <c r="G191" s="34">
        <f>796200+23800</f>
        <v>820000</v>
      </c>
      <c r="H191" s="34" t="s">
        <v>5</v>
      </c>
      <c r="I191" s="35" t="e">
        <f>IF(Paid[[#This Row],[Currency]]="USD",Paid[[#This Row],[Montant]],Paid[[#This Row],[Montant]]/VLOOKUP(Paid[[#This Row],[Date Paid]],TableCurrencyRate[#All],2,FALSE))</f>
        <v>#N/A</v>
      </c>
    </row>
    <row r="192" spans="2:9" x14ac:dyDescent="0.2">
      <c r="B192" s="36">
        <v>43748</v>
      </c>
      <c r="C192" s="31">
        <v>43738</v>
      </c>
      <c r="D192" s="32"/>
      <c r="E192" s="32"/>
      <c r="F192" s="33" t="s">
        <v>160</v>
      </c>
      <c r="G192" s="34">
        <f>1130000-29000</f>
        <v>1101000</v>
      </c>
      <c r="H192" s="34" t="s">
        <v>5</v>
      </c>
      <c r="I192" s="35" t="e">
        <f>IF(Paid[[#This Row],[Currency]]="USD",Paid[[#This Row],[Montant]],Paid[[#This Row],[Montant]]/VLOOKUP(Paid[[#This Row],[Date Paid]],TableCurrencyRate[#All],2,FALSE))</f>
        <v>#N/A</v>
      </c>
    </row>
    <row r="193" spans="2:9" x14ac:dyDescent="0.2">
      <c r="B193" s="30">
        <v>43748</v>
      </c>
      <c r="C193" s="31">
        <v>43740</v>
      </c>
      <c r="D193" s="32"/>
      <c r="E193" s="32"/>
      <c r="F193" s="33" t="s">
        <v>161</v>
      </c>
      <c r="G193" s="34">
        <f>68000-26300</f>
        <v>41700</v>
      </c>
      <c r="H193" s="34" t="s">
        <v>5</v>
      </c>
      <c r="I193" s="35" t="e">
        <f>IF(Paid[[#This Row],[Currency]]="USD",Paid[[#This Row],[Montant]],Paid[[#This Row],[Montant]]/VLOOKUP(Paid[[#This Row],[Date Paid]],TableCurrencyRate[#All],2,FALSE))</f>
        <v>#N/A</v>
      </c>
    </row>
    <row r="194" spans="2:9" x14ac:dyDescent="0.2">
      <c r="B194" s="36">
        <v>43748</v>
      </c>
      <c r="C194" s="31">
        <v>43748</v>
      </c>
      <c r="D194" s="32"/>
      <c r="E194" s="32"/>
      <c r="F194" s="33" t="s">
        <v>162</v>
      </c>
      <c r="G194" s="34">
        <v>48600</v>
      </c>
      <c r="H194" s="34" t="s">
        <v>5</v>
      </c>
      <c r="I194" s="35" t="e">
        <f>IF(Paid[[#This Row],[Currency]]="USD",Paid[[#This Row],[Montant]],Paid[[#This Row],[Montant]]/VLOOKUP(Paid[[#This Row],[Date Paid]],TableCurrencyRate[#All],2,FALSE))</f>
        <v>#N/A</v>
      </c>
    </row>
    <row r="195" spans="2:9" x14ac:dyDescent="0.2">
      <c r="B195" s="30">
        <v>43748</v>
      </c>
      <c r="C195" s="31">
        <v>43747</v>
      </c>
      <c r="D195" s="32"/>
      <c r="E195" s="32"/>
      <c r="F195" s="33" t="s">
        <v>164</v>
      </c>
      <c r="G195" s="34">
        <v>906700</v>
      </c>
      <c r="H195" s="34" t="s">
        <v>5</v>
      </c>
      <c r="I195" s="35" t="e">
        <f>IF(Paid[[#This Row],[Currency]]="USD",Paid[[#This Row],[Montant]],Paid[[#This Row],[Montant]]/VLOOKUP(Paid[[#This Row],[Date Paid]],TableCurrencyRate[#All],2,FALSE))</f>
        <v>#N/A</v>
      </c>
    </row>
    <row r="196" spans="2:9" x14ac:dyDescent="0.2">
      <c r="B196" s="36">
        <v>43748</v>
      </c>
      <c r="C196" s="31">
        <v>43745</v>
      </c>
      <c r="D196" s="32"/>
      <c r="E196" s="32"/>
      <c r="F196" s="33" t="s">
        <v>159</v>
      </c>
      <c r="G196" s="34">
        <f>764000+2456</f>
        <v>766456</v>
      </c>
      <c r="H196" s="34" t="s">
        <v>5</v>
      </c>
      <c r="I196" s="35" t="e">
        <f>IF(Paid[[#This Row],[Currency]]="USD",Paid[[#This Row],[Montant]],Paid[[#This Row],[Montant]]/VLOOKUP(Paid[[#This Row],[Date Paid]],TableCurrencyRate[#All],2,FALSE))</f>
        <v>#N/A</v>
      </c>
    </row>
    <row r="197" spans="2:9" x14ac:dyDescent="0.2">
      <c r="B197" s="30">
        <v>43748</v>
      </c>
      <c r="C197" s="31">
        <v>43745</v>
      </c>
      <c r="D197" s="32"/>
      <c r="E197" s="32"/>
      <c r="F197" s="33" t="s">
        <v>17</v>
      </c>
      <c r="G197" s="34">
        <f>200000+700</f>
        <v>200700</v>
      </c>
      <c r="H197" s="34" t="s">
        <v>5</v>
      </c>
      <c r="I197" s="35" t="e">
        <f>IF(Paid[[#This Row],[Currency]]="USD",Paid[[#This Row],[Montant]],Paid[[#This Row],[Montant]]/VLOOKUP(Paid[[#This Row],[Date Paid]],TableCurrencyRate[#All],2,FALSE))</f>
        <v>#N/A</v>
      </c>
    </row>
    <row r="198" spans="2:9" x14ac:dyDescent="0.2">
      <c r="B198" s="36">
        <v>43748</v>
      </c>
      <c r="C198" s="31">
        <v>43707</v>
      </c>
      <c r="D198" s="32"/>
      <c r="E198" s="32"/>
      <c r="F198" s="33" t="s">
        <v>166</v>
      </c>
      <c r="G198" s="34">
        <v>748200</v>
      </c>
      <c r="H198" s="34" t="s">
        <v>5</v>
      </c>
      <c r="I198" s="35" t="e">
        <f>IF(Paid[[#This Row],[Currency]]="USD",Paid[[#This Row],[Montant]],Paid[[#This Row],[Montant]]/VLOOKUP(Paid[[#This Row],[Date Paid]],TableCurrencyRate[#All],2,FALSE))</f>
        <v>#N/A</v>
      </c>
    </row>
    <row r="199" spans="2:9" x14ac:dyDescent="0.2">
      <c r="B199" s="30">
        <v>43748</v>
      </c>
      <c r="C199" s="31">
        <v>43738</v>
      </c>
      <c r="D199" s="32"/>
      <c r="E199" s="32"/>
      <c r="F199" s="33" t="s">
        <v>163</v>
      </c>
      <c r="G199" s="34">
        <v>944</v>
      </c>
      <c r="H199" s="34" t="s">
        <v>6</v>
      </c>
      <c r="I199" s="35">
        <f>IF(Paid[[#This Row],[Currency]]="USD",Paid[[#This Row],[Montant]],Paid[[#This Row],[Montant]]/VLOOKUP(Paid[[#This Row],[Date Paid]],TableCurrencyRate[#All],2,FALSE))</f>
        <v>944</v>
      </c>
    </row>
    <row r="200" spans="2:9" x14ac:dyDescent="0.2">
      <c r="B200" s="12">
        <v>43756</v>
      </c>
      <c r="C200" s="13">
        <v>43754</v>
      </c>
      <c r="D200" s="14"/>
      <c r="E200" s="14" t="s">
        <v>264</v>
      </c>
      <c r="F200" s="15" t="s">
        <v>260</v>
      </c>
      <c r="G200" s="37">
        <f>332000-129400</f>
        <v>202600</v>
      </c>
      <c r="H200" s="16" t="s">
        <v>5</v>
      </c>
      <c r="I200" s="19" t="e">
        <f>IF(Paid[[#This Row],[Currency]]="USD",Paid[[#This Row],[Montant]],Paid[[#This Row],[Montant]]/VLOOKUP(Paid[[#This Row],[Date Paid]],TableCurrencyRate[#All],2,FALSE))</f>
        <v>#N/A</v>
      </c>
    </row>
    <row r="201" spans="2:9" x14ac:dyDescent="0.2">
      <c r="B201" s="12">
        <v>43756</v>
      </c>
      <c r="C201" s="13">
        <v>43754</v>
      </c>
      <c r="D201" s="14"/>
      <c r="E201" s="14" t="s">
        <v>263</v>
      </c>
      <c r="F201" s="15" t="s">
        <v>261</v>
      </c>
      <c r="G201" s="37">
        <f>173000+1900</f>
        <v>174900</v>
      </c>
      <c r="H201" s="16" t="s">
        <v>5</v>
      </c>
      <c r="I201" s="19" t="e">
        <f>IF(Paid[[#This Row],[Currency]]="USD",Paid[[#This Row],[Montant]],Paid[[#This Row],[Montant]]/VLOOKUP(Paid[[#This Row],[Date Paid]],TableCurrencyRate[#All],2,FALSE))</f>
        <v>#N/A</v>
      </c>
    </row>
    <row r="202" spans="2:9" x14ac:dyDescent="0.2">
      <c r="B202" s="12">
        <v>43756</v>
      </c>
      <c r="C202" s="9">
        <v>43755</v>
      </c>
      <c r="D202" s="10"/>
      <c r="E202" s="10" t="s">
        <v>60</v>
      </c>
      <c r="F202" s="11" t="s">
        <v>262</v>
      </c>
      <c r="G202" s="18">
        <f>1365600-6400</f>
        <v>1359200</v>
      </c>
      <c r="H202" s="18" t="s">
        <v>5</v>
      </c>
      <c r="I202" s="19" t="e">
        <f>IF(Paid[[#This Row],[Currency]]="USD",Paid[[#This Row],[Montant]],Paid[[#This Row],[Montant]]/VLOOKUP(Paid[[#This Row],[Date Paid]],TableCurrencyRate[#All],2,FALSE))</f>
        <v>#N/A</v>
      </c>
    </row>
    <row r="203" spans="2:9" x14ac:dyDescent="0.2">
      <c r="B203" s="12">
        <v>43756</v>
      </c>
      <c r="C203" s="9">
        <v>43755</v>
      </c>
      <c r="D203" s="10"/>
      <c r="E203" s="10" t="s">
        <v>264</v>
      </c>
      <c r="F203" s="11" t="s">
        <v>265</v>
      </c>
      <c r="G203" s="18">
        <f>41000-200</f>
        <v>40800</v>
      </c>
      <c r="H203" s="18" t="s">
        <v>5</v>
      </c>
      <c r="I203" s="19" t="e">
        <f>IF(Paid[[#This Row],[Currency]]="USD",Paid[[#This Row],[Montant]],Paid[[#This Row],[Montant]]/VLOOKUP(Paid[[#This Row],[Date Paid]],TableCurrencyRate[#All],2,FALSE))</f>
        <v>#N/A</v>
      </c>
    </row>
    <row r="204" spans="2:9" x14ac:dyDescent="0.2">
      <c r="B204" s="12">
        <v>43756</v>
      </c>
      <c r="C204" s="9">
        <v>43747</v>
      </c>
      <c r="D204" s="10"/>
      <c r="E204" s="10"/>
      <c r="F204" s="11" t="s">
        <v>228</v>
      </c>
      <c r="G204" s="18">
        <v>642600</v>
      </c>
      <c r="H204" s="18" t="s">
        <v>5</v>
      </c>
      <c r="I204" s="19" t="e">
        <f>IF(Paid[[#This Row],[Currency]]="USD",Paid[[#This Row],[Montant]],Paid[[#This Row],[Montant]]/VLOOKUP(Paid[[#This Row],[Date Paid]],TableCurrencyRate[#All],2,FALSE))</f>
        <v>#N/A</v>
      </c>
    </row>
    <row r="205" spans="2:9" x14ac:dyDescent="0.2">
      <c r="B205" s="12">
        <v>43756</v>
      </c>
      <c r="C205" s="9">
        <v>43747</v>
      </c>
      <c r="D205" s="10"/>
      <c r="E205" s="10"/>
      <c r="F205" s="11" t="s">
        <v>228</v>
      </c>
      <c r="G205" s="18">
        <v>391425</v>
      </c>
      <c r="H205" s="18" t="s">
        <v>5</v>
      </c>
      <c r="I205" s="19" t="e">
        <f>IF(Paid[[#This Row],[Currency]]="USD",Paid[[#This Row],[Montant]],Paid[[#This Row],[Montant]]/VLOOKUP(Paid[[#This Row],[Date Paid]],TableCurrencyRate[#All],2,FALSE))</f>
        <v>#N/A</v>
      </c>
    </row>
    <row r="206" spans="2:9" x14ac:dyDescent="0.2">
      <c r="B206" s="12">
        <v>43756</v>
      </c>
      <c r="C206" s="9">
        <v>43747</v>
      </c>
      <c r="D206" s="10"/>
      <c r="E206" s="10"/>
      <c r="F206" s="11" t="s">
        <v>228</v>
      </c>
      <c r="G206" s="18">
        <v>476000</v>
      </c>
      <c r="H206" s="18" t="s">
        <v>5</v>
      </c>
      <c r="I206" s="19" t="e">
        <f>IF(Paid[[#This Row],[Currency]]="USD",Paid[[#This Row],[Montant]],Paid[[#This Row],[Montant]]/VLOOKUP(Paid[[#This Row],[Date Paid]],TableCurrencyRate[#All],2,FALSE))</f>
        <v>#N/A</v>
      </c>
    </row>
    <row r="207" spans="2:9" x14ac:dyDescent="0.2">
      <c r="B207" s="12">
        <v>43756</v>
      </c>
      <c r="C207" s="9">
        <v>43754</v>
      </c>
      <c r="D207" s="10"/>
      <c r="E207" s="10" t="s">
        <v>231</v>
      </c>
      <c r="F207" s="11" t="s">
        <v>230</v>
      </c>
      <c r="G207" s="18">
        <v>250000</v>
      </c>
      <c r="H207" s="18" t="s">
        <v>5</v>
      </c>
      <c r="I207" s="19" t="e">
        <f>IF(Paid[[#This Row],[Currency]]="USD",Paid[[#This Row],[Montant]],Paid[[#This Row],[Montant]]/VLOOKUP(Paid[[#This Row],[Date Paid]],TableCurrencyRate[#All],2,FALSE))</f>
        <v>#N/A</v>
      </c>
    </row>
    <row r="208" spans="2:9" x14ac:dyDescent="0.2">
      <c r="B208" s="12">
        <v>43756</v>
      </c>
      <c r="C208" s="9">
        <v>43754</v>
      </c>
      <c r="D208" s="10"/>
      <c r="E208" s="10" t="s">
        <v>233</v>
      </c>
      <c r="F208" s="11" t="s">
        <v>232</v>
      </c>
      <c r="G208" s="18">
        <v>85000</v>
      </c>
      <c r="H208" s="18" t="s">
        <v>5</v>
      </c>
      <c r="I208" s="19" t="e">
        <f>IF(Paid[[#This Row],[Currency]]="USD",Paid[[#This Row],[Montant]],Paid[[#This Row],[Montant]]/VLOOKUP(Paid[[#This Row],[Date Paid]],TableCurrencyRate[#All],2,FALSE))</f>
        <v>#N/A</v>
      </c>
    </row>
    <row r="209" spans="2:9" x14ac:dyDescent="0.2">
      <c r="B209" s="12">
        <v>43756</v>
      </c>
      <c r="C209" s="9">
        <v>43756</v>
      </c>
      <c r="D209" s="10"/>
      <c r="E209" s="10"/>
      <c r="F209" s="11" t="s">
        <v>258</v>
      </c>
      <c r="G209" s="18">
        <v>112400</v>
      </c>
      <c r="H209" s="18" t="s">
        <v>5</v>
      </c>
      <c r="I209" s="19" t="e">
        <f>IF(Paid[[#This Row],[Currency]]="USD",Paid[[#This Row],[Montant]],Paid[[#This Row],[Montant]]/VLOOKUP(Paid[[#This Row],[Date Paid]],TableCurrencyRate[#All],2,FALSE))</f>
        <v>#N/A</v>
      </c>
    </row>
    <row r="210" spans="2:9" x14ac:dyDescent="0.2">
      <c r="B210" s="12">
        <v>43756</v>
      </c>
      <c r="C210" s="9">
        <v>43756</v>
      </c>
      <c r="D210" s="10"/>
      <c r="E210" s="10" t="s">
        <v>266</v>
      </c>
      <c r="F210" s="11" t="s">
        <v>259</v>
      </c>
      <c r="G210" s="18">
        <v>38500</v>
      </c>
      <c r="H210" s="18" t="s">
        <v>5</v>
      </c>
      <c r="I210" s="19" t="e">
        <f>IF(Paid[[#This Row],[Currency]]="USD",Paid[[#This Row],[Montant]],Paid[[#This Row],[Montant]]/VLOOKUP(Paid[[#This Row],[Date Paid]],TableCurrencyRate[#All],2,FALSE))</f>
        <v>#N/A</v>
      </c>
    </row>
    <row r="211" spans="2:9" x14ac:dyDescent="0.2">
      <c r="B211" s="12">
        <v>43756</v>
      </c>
      <c r="C211" s="9">
        <v>43754</v>
      </c>
      <c r="D211" s="10"/>
      <c r="E211" s="10" t="s">
        <v>226</v>
      </c>
      <c r="F211" s="11" t="s">
        <v>225</v>
      </c>
      <c r="G211" s="18">
        <f>660100</f>
        <v>660100</v>
      </c>
      <c r="H211" s="18" t="s">
        <v>5</v>
      </c>
      <c r="I211" s="19" t="e">
        <f>IF(Paid[[#This Row],[Currency]]="USD",Paid[[#This Row],[Montant]],Paid[[#This Row],[Montant]]/VLOOKUP(Paid[[#This Row],[Date Paid]],TableCurrencyRate[#All],2,FALSE))</f>
        <v>#N/A</v>
      </c>
    </row>
    <row r="212" spans="2:9" x14ac:dyDescent="0.2">
      <c r="B212" s="12">
        <v>43756</v>
      </c>
      <c r="C212" s="9">
        <v>43756</v>
      </c>
      <c r="D212" s="10"/>
      <c r="E212" s="10" t="s">
        <v>226</v>
      </c>
      <c r="F212" s="11" t="s">
        <v>257</v>
      </c>
      <c r="G212" s="18">
        <f>200000-146000</f>
        <v>54000</v>
      </c>
      <c r="H212" s="18" t="s">
        <v>5</v>
      </c>
      <c r="I212" s="19" t="e">
        <f>IF(Paid[[#This Row],[Currency]]="USD",Paid[[#This Row],[Montant]],Paid[[#This Row],[Montant]]/VLOOKUP(Paid[[#This Row],[Date Paid]],TableCurrencyRate[#All],2,FALSE))</f>
        <v>#N/A</v>
      </c>
    </row>
    <row r="213" spans="2:9" x14ac:dyDescent="0.2">
      <c r="B213" s="12">
        <v>43756</v>
      </c>
      <c r="C213" s="9">
        <v>43755</v>
      </c>
      <c r="D213" s="10"/>
      <c r="E213" s="10" t="s">
        <v>226</v>
      </c>
      <c r="F213" s="11" t="s">
        <v>237</v>
      </c>
      <c r="G213" s="18">
        <v>268055</v>
      </c>
      <c r="H213" s="18" t="s">
        <v>5</v>
      </c>
      <c r="I213" s="19" t="e">
        <f>IF(Paid[[#This Row],[Currency]]="USD",Paid[[#This Row],[Montant]],Paid[[#This Row],[Montant]]/VLOOKUP(Paid[[#This Row],[Date Paid]],TableCurrencyRate[#All],2,FALSE))</f>
        <v>#N/A</v>
      </c>
    </row>
    <row r="214" spans="2:9" x14ac:dyDescent="0.2">
      <c r="B214" s="12">
        <v>43756</v>
      </c>
      <c r="C214" s="9">
        <v>43755</v>
      </c>
      <c r="D214" s="10"/>
      <c r="E214" s="10"/>
      <c r="F214" s="11" t="s">
        <v>20</v>
      </c>
      <c r="G214" s="18">
        <f>200000+69700</f>
        <v>269700</v>
      </c>
      <c r="H214" s="18" t="s">
        <v>5</v>
      </c>
      <c r="I214" s="19" t="e">
        <f>IF(Paid[[#This Row],[Currency]]="USD",Paid[[#This Row],[Montant]],Paid[[#This Row],[Montant]]/VLOOKUP(Paid[[#This Row],[Date Paid]],TableCurrencyRate[#All],2,FALSE))</f>
        <v>#N/A</v>
      </c>
    </row>
    <row r="215" spans="2:9" x14ac:dyDescent="0.2">
      <c r="B215" s="12">
        <v>43756</v>
      </c>
      <c r="C215" s="9">
        <v>43747</v>
      </c>
      <c r="D215" s="10"/>
      <c r="E215" s="10"/>
      <c r="F215" s="11" t="s">
        <v>165</v>
      </c>
      <c r="G215" s="18">
        <v>12000</v>
      </c>
      <c r="H215" s="18" t="s">
        <v>5</v>
      </c>
      <c r="I215" s="19" t="e">
        <f>IF(Paid[[#This Row],[Currency]]="USD",Paid[[#This Row],[Montant]],Paid[[#This Row],[Montant]]/VLOOKUP(Paid[[#This Row],[Date Paid]],TableCurrencyRate[#All],2,FALSE))</f>
        <v>#N/A</v>
      </c>
    </row>
    <row r="216" spans="2:9" x14ac:dyDescent="0.2">
      <c r="B216" s="12">
        <v>43756</v>
      </c>
      <c r="C216" s="9">
        <v>43746</v>
      </c>
      <c r="D216" s="10"/>
      <c r="E216" s="10"/>
      <c r="F216" s="11" t="s">
        <v>238</v>
      </c>
      <c r="G216" s="18">
        <v>28400</v>
      </c>
      <c r="H216" s="18" t="s">
        <v>5</v>
      </c>
      <c r="I216" s="19" t="e">
        <f>IF(Paid[[#This Row],[Currency]]="USD",Paid[[#This Row],[Montant]],Paid[[#This Row],[Montant]]/VLOOKUP(Paid[[#This Row],[Date Paid]],TableCurrencyRate[#All],2,FALSE))</f>
        <v>#N/A</v>
      </c>
    </row>
    <row r="217" spans="2:9" x14ac:dyDescent="0.2">
      <c r="B217" s="12">
        <v>43756</v>
      </c>
      <c r="C217" s="9">
        <v>43742</v>
      </c>
      <c r="D217" s="10"/>
      <c r="E217" s="10"/>
      <c r="F217" s="11" t="s">
        <v>222</v>
      </c>
      <c r="G217" s="18">
        <v>23300</v>
      </c>
      <c r="H217" s="18" t="s">
        <v>5</v>
      </c>
      <c r="I217" s="19" t="e">
        <f>IF(Paid[[#This Row],[Currency]]="USD",Paid[[#This Row],[Montant]],Paid[[#This Row],[Montant]]/VLOOKUP(Paid[[#This Row],[Date Paid]],TableCurrencyRate[#All],2,FALSE))</f>
        <v>#N/A</v>
      </c>
    </row>
    <row r="218" spans="2:9" x14ac:dyDescent="0.2">
      <c r="B218" s="12">
        <v>43756</v>
      </c>
      <c r="C218" s="9">
        <v>43738</v>
      </c>
      <c r="D218" s="10"/>
      <c r="E218" s="10"/>
      <c r="F218" s="11" t="s">
        <v>229</v>
      </c>
      <c r="G218" s="18">
        <v>700000</v>
      </c>
      <c r="H218" s="18" t="s">
        <v>5</v>
      </c>
      <c r="I218" s="19" t="e">
        <f>IF(Paid[[#This Row],[Currency]]="USD",Paid[[#This Row],[Montant]],Paid[[#This Row],[Montant]]/VLOOKUP(Paid[[#This Row],[Date Paid]],TableCurrencyRate[#All],2,FALSE))</f>
        <v>#N/A</v>
      </c>
    </row>
    <row r="219" spans="2:9" x14ac:dyDescent="0.2">
      <c r="B219" s="12">
        <v>43756</v>
      </c>
      <c r="C219" s="9">
        <v>43669</v>
      </c>
      <c r="D219" s="10" t="s">
        <v>46</v>
      </c>
      <c r="E219" s="10"/>
      <c r="F219" s="11" t="s">
        <v>47</v>
      </c>
      <c r="G219" s="18">
        <v>174400</v>
      </c>
      <c r="H219" s="18" t="s">
        <v>5</v>
      </c>
      <c r="I219" s="19" t="e">
        <f>IF(Paid[[#This Row],[Currency]]="USD",Paid[[#This Row],[Montant]],Paid[[#This Row],[Montant]]/VLOOKUP(Paid[[#This Row],[Date Paid]],TableCurrencyRate[#All],2,FALSE))</f>
        <v>#N/A</v>
      </c>
    </row>
    <row r="220" spans="2:9" x14ac:dyDescent="0.2">
      <c r="B220" s="12">
        <v>43759</v>
      </c>
      <c r="C220" s="9">
        <v>43759</v>
      </c>
      <c r="D220" s="10"/>
      <c r="E220" s="10"/>
      <c r="F220" s="11" t="s">
        <v>282</v>
      </c>
      <c r="G220" s="18">
        <v>328700</v>
      </c>
      <c r="H220" s="18" t="s">
        <v>5</v>
      </c>
      <c r="I220" s="19" t="e">
        <f>IF(Paid[[#This Row],[Currency]]="USD",Paid[[#This Row],[Montant]],Paid[[#This Row],[Montant]]/VLOOKUP(Paid[[#This Row],[Date Paid]],TableCurrencyRate[#All],2,FALSE))</f>
        <v>#N/A</v>
      </c>
    </row>
    <row r="221" spans="2:9" x14ac:dyDescent="0.2">
      <c r="B221" s="12">
        <v>43759</v>
      </c>
      <c r="C221" s="9">
        <v>43759</v>
      </c>
      <c r="D221" s="10"/>
      <c r="E221" s="10"/>
      <c r="F221" s="11" t="s">
        <v>283</v>
      </c>
      <c r="G221" s="18">
        <f>408000-35000-55800</f>
        <v>317200</v>
      </c>
      <c r="H221" s="18" t="s">
        <v>5</v>
      </c>
      <c r="I221" s="19" t="e">
        <f>IF(Paid[[#This Row],[Currency]]="USD",Paid[[#This Row],[Montant]],Paid[[#This Row],[Montant]]/VLOOKUP(Paid[[#This Row],[Date Paid]],TableCurrencyRate[#All],2,FALSE))</f>
        <v>#N/A</v>
      </c>
    </row>
    <row r="222" spans="2:9" x14ac:dyDescent="0.2">
      <c r="B222" s="12">
        <v>43763</v>
      </c>
      <c r="C222" s="9">
        <v>43763</v>
      </c>
      <c r="D222" s="10"/>
      <c r="E222" s="10"/>
      <c r="F222" s="11" t="s">
        <v>284</v>
      </c>
      <c r="G222" s="18">
        <v>11000</v>
      </c>
      <c r="H222" s="18" t="s">
        <v>6</v>
      </c>
      <c r="I222" s="19">
        <f>IF(Paid[[#This Row],[Currency]]="USD",Paid[[#This Row],[Montant]],Paid[[#This Row],[Montant]]/VLOOKUP(Paid[[#This Row],[Date Paid]],TableCurrencyRate[#All],2,FALSE))</f>
        <v>11000</v>
      </c>
    </row>
    <row r="223" spans="2:9" x14ac:dyDescent="0.2">
      <c r="B223" s="12">
        <v>43767</v>
      </c>
      <c r="C223" s="13">
        <v>43757</v>
      </c>
      <c r="D223" s="14"/>
      <c r="E223" s="14"/>
      <c r="F223" s="15" t="s">
        <v>281</v>
      </c>
      <c r="G223" s="21">
        <v>27000</v>
      </c>
      <c r="H223" s="16" t="s">
        <v>5</v>
      </c>
      <c r="I223" s="19" t="e">
        <f>IF(Paid[[#This Row],[Currency]]="USD",Paid[[#This Row],[Montant]],Paid[[#This Row],[Montant]]/VLOOKUP(Paid[[#This Row],[Date Paid]],TableCurrencyRate[#All],2,FALSE))</f>
        <v>#N/A</v>
      </c>
    </row>
    <row r="224" spans="2:9" x14ac:dyDescent="0.2">
      <c r="B224" s="12">
        <v>43767</v>
      </c>
      <c r="C224" s="13">
        <v>43732</v>
      </c>
      <c r="D224" s="14"/>
      <c r="E224" s="14"/>
      <c r="F224" s="15" t="s">
        <v>21</v>
      </c>
      <c r="G224" s="21">
        <v>39550</v>
      </c>
      <c r="H224" s="16" t="s">
        <v>5</v>
      </c>
      <c r="I224" s="19" t="e">
        <f>IF(Paid[[#This Row],[Currency]]="USD",Paid[[#This Row],[Montant]],Paid[[#This Row],[Montant]]/VLOOKUP(Paid[[#This Row],[Date Paid]],TableCurrencyRate[#All],2,FALSE))</f>
        <v>#N/A</v>
      </c>
    </row>
    <row r="225" spans="2:9" x14ac:dyDescent="0.2">
      <c r="B225" s="12">
        <v>43767</v>
      </c>
      <c r="C225" s="9">
        <v>43762</v>
      </c>
      <c r="D225" s="10"/>
      <c r="E225" s="10"/>
      <c r="F225" s="11" t="s">
        <v>278</v>
      </c>
      <c r="G225" s="18">
        <v>56300</v>
      </c>
      <c r="H225" s="18" t="s">
        <v>5</v>
      </c>
      <c r="I225" s="19" t="e">
        <f>IF(Paid[[#This Row],[Currency]]="USD",Paid[[#This Row],[Montant]],Paid[[#This Row],[Montant]]/VLOOKUP(Paid[[#This Row],[Date Paid]],TableCurrencyRate[#All],2,FALSE))</f>
        <v>#N/A</v>
      </c>
    </row>
    <row r="226" spans="2:9" x14ac:dyDescent="0.2">
      <c r="B226" s="12">
        <v>43767</v>
      </c>
      <c r="C226" s="9">
        <v>43760</v>
      </c>
      <c r="D226" s="10"/>
      <c r="E226" s="10"/>
      <c r="F226" s="11" t="s">
        <v>258</v>
      </c>
      <c r="G226" s="18">
        <v>34615</v>
      </c>
      <c r="H226" s="18" t="s">
        <v>5</v>
      </c>
      <c r="I226" s="19" t="e">
        <f>IF(Paid[[#This Row],[Currency]]="USD",Paid[[#This Row],[Montant]],Paid[[#This Row],[Montant]]/VLOOKUP(Paid[[#This Row],[Date Paid]],TableCurrencyRate[#All],2,FALSE))</f>
        <v>#N/A</v>
      </c>
    </row>
    <row r="227" spans="2:9" x14ac:dyDescent="0.2">
      <c r="B227" s="12">
        <v>43767</v>
      </c>
      <c r="C227" s="9">
        <v>43728</v>
      </c>
      <c r="D227" s="10" t="s">
        <v>46</v>
      </c>
      <c r="E227" s="10"/>
      <c r="F227" s="11" t="s">
        <v>234</v>
      </c>
      <c r="G227" s="18">
        <v>45000</v>
      </c>
      <c r="H227" s="18" t="s">
        <v>5</v>
      </c>
      <c r="I227" s="19" t="e">
        <f>IF(Paid[[#This Row],[Currency]]="USD",Paid[[#This Row],[Montant]],Paid[[#This Row],[Montant]]/VLOOKUP(Paid[[#This Row],[Date Paid]],TableCurrencyRate[#All],2,FALSE))</f>
        <v>#N/A</v>
      </c>
    </row>
    <row r="228" spans="2:9" x14ac:dyDescent="0.2">
      <c r="B228" s="12">
        <v>43767</v>
      </c>
      <c r="C228" s="9">
        <v>43727</v>
      </c>
      <c r="D228" s="10"/>
      <c r="E228" s="10" t="s">
        <v>226</v>
      </c>
      <c r="F228" s="11" t="s">
        <v>235</v>
      </c>
      <c r="G228" s="18">
        <v>14000</v>
      </c>
      <c r="H228" s="18" t="s">
        <v>5</v>
      </c>
      <c r="I228" s="19" t="e">
        <f>IF(Paid[[#This Row],[Currency]]="USD",Paid[[#This Row],[Montant]],Paid[[#This Row],[Montant]]/VLOOKUP(Paid[[#This Row],[Date Paid]],TableCurrencyRate[#All],2,FALSE))</f>
        <v>#N/A</v>
      </c>
    </row>
    <row r="229" spans="2:9" x14ac:dyDescent="0.2">
      <c r="B229" s="12">
        <v>43767</v>
      </c>
      <c r="C229" s="13">
        <v>43759</v>
      </c>
      <c r="D229" s="14"/>
      <c r="E229" s="14"/>
      <c r="F229" s="15" t="s">
        <v>273</v>
      </c>
      <c r="G229" s="21">
        <f>270000+137200</f>
        <v>407200</v>
      </c>
      <c r="H229" s="16" t="s">
        <v>5</v>
      </c>
      <c r="I229" s="19" t="e">
        <f>IF(Paid[[#This Row],[Currency]]="USD",Paid[[#This Row],[Montant]],Paid[[#This Row],[Montant]]/VLOOKUP(Paid[[#This Row],[Date Paid]],TableCurrencyRate[#All],2,FALSE))</f>
        <v>#N/A</v>
      </c>
    </row>
    <row r="230" spans="2:9" x14ac:dyDescent="0.2">
      <c r="B230" s="12">
        <v>43767</v>
      </c>
      <c r="C230" s="9">
        <v>43767</v>
      </c>
      <c r="D230" s="10"/>
      <c r="E230" s="10"/>
      <c r="F230" s="11" t="s">
        <v>331</v>
      </c>
      <c r="G230" s="18">
        <v>12</v>
      </c>
      <c r="H230" s="18" t="s">
        <v>6</v>
      </c>
      <c r="I230" s="19">
        <f>IF(Paid[[#This Row],[Currency]]="USD",Paid[[#This Row],[Montant]],Paid[[#This Row],[Montant]]/VLOOKUP(Paid[[#This Row],[Date Paid]],TableCurrencyRate[#All],2,FALSE))</f>
        <v>12</v>
      </c>
    </row>
    <row r="231" spans="2:9" x14ac:dyDescent="0.2">
      <c r="B231" s="12">
        <v>43770</v>
      </c>
      <c r="C231" s="13">
        <v>43759</v>
      </c>
      <c r="D231" s="14"/>
      <c r="E231" s="14" t="s">
        <v>264</v>
      </c>
      <c r="F231" s="15" t="s">
        <v>271</v>
      </c>
      <c r="G231" s="21">
        <f>299500-234500</f>
        <v>65000</v>
      </c>
      <c r="H231" s="16" t="s">
        <v>5</v>
      </c>
      <c r="I231" s="19" t="e">
        <f>IF(Paid[[#This Row],[Currency]]="USD",Paid[[#This Row],[Montant]],Paid[[#This Row],[Montant]]/VLOOKUP(Paid[[#This Row],[Date Paid]],TableCurrencyRate[#All],2,FALSE))</f>
        <v>#N/A</v>
      </c>
    </row>
    <row r="232" spans="2:9" x14ac:dyDescent="0.2">
      <c r="B232" s="12">
        <v>43770</v>
      </c>
      <c r="C232" s="13">
        <v>43760</v>
      </c>
      <c r="D232" s="14"/>
      <c r="E232" s="14" t="s">
        <v>263</v>
      </c>
      <c r="F232" s="15" t="s">
        <v>271</v>
      </c>
      <c r="G232" s="21">
        <f>59750-18250</f>
        <v>41500</v>
      </c>
      <c r="H232" s="16" t="s">
        <v>5</v>
      </c>
      <c r="I232" s="19" t="e">
        <f>IF(Paid[[#This Row],[Currency]]="USD",Paid[[#This Row],[Montant]],Paid[[#This Row],[Montant]]/VLOOKUP(Paid[[#This Row],[Date Paid]],TableCurrencyRate[#All],2,FALSE))</f>
        <v>#N/A</v>
      </c>
    </row>
    <row r="233" spans="2:9" x14ac:dyDescent="0.2">
      <c r="B233" s="12">
        <v>43770</v>
      </c>
      <c r="C233" s="13">
        <v>43760</v>
      </c>
      <c r="D233" s="14"/>
      <c r="E233" s="14"/>
      <c r="F233" s="15" t="s">
        <v>285</v>
      </c>
      <c r="G233" s="21">
        <f>170900-18900</f>
        <v>152000</v>
      </c>
      <c r="H233" s="16" t="s">
        <v>5</v>
      </c>
      <c r="I233" s="19" t="e">
        <f>IF(Paid[[#This Row],[Currency]]="USD",Paid[[#This Row],[Montant]],Paid[[#This Row],[Montant]]/VLOOKUP(Paid[[#This Row],[Date Paid]],TableCurrencyRate[#All],2,FALSE))</f>
        <v>#N/A</v>
      </c>
    </row>
    <row r="234" spans="2:9" x14ac:dyDescent="0.2">
      <c r="B234" s="12">
        <v>43770</v>
      </c>
      <c r="C234" s="13">
        <v>43761</v>
      </c>
      <c r="D234" s="14"/>
      <c r="E234" s="14" t="s">
        <v>263</v>
      </c>
      <c r="F234" s="15" t="s">
        <v>271</v>
      </c>
      <c r="G234" s="21">
        <f>99950-13400</f>
        <v>86550</v>
      </c>
      <c r="H234" s="16" t="s">
        <v>5</v>
      </c>
      <c r="I234" s="19" t="e">
        <f>IF(Paid[[#This Row],[Currency]]="USD",Paid[[#This Row],[Montant]],Paid[[#This Row],[Montant]]/VLOOKUP(Paid[[#This Row],[Date Paid]],TableCurrencyRate[#All],2,FALSE))</f>
        <v>#N/A</v>
      </c>
    </row>
    <row r="235" spans="2:9" x14ac:dyDescent="0.2">
      <c r="B235" s="12">
        <v>43770</v>
      </c>
      <c r="C235" s="13">
        <v>43767</v>
      </c>
      <c r="D235" s="14"/>
      <c r="E235" s="14"/>
      <c r="F235" s="15" t="s">
        <v>329</v>
      </c>
      <c r="G235" s="21">
        <f>243800-36150</f>
        <v>207650</v>
      </c>
      <c r="H235" s="16" t="s">
        <v>5</v>
      </c>
      <c r="I235" s="19" t="e">
        <f>IF(Paid[[#This Row],[Currency]]="USD",Paid[[#This Row],[Montant]],Paid[[#This Row],[Montant]]/VLOOKUP(Paid[[#This Row],[Date Paid]],TableCurrencyRate[#All],2,FALSE))</f>
        <v>#N/A</v>
      </c>
    </row>
    <row r="236" spans="2:9" x14ac:dyDescent="0.2">
      <c r="B236" s="12">
        <v>43770</v>
      </c>
      <c r="C236" s="13">
        <v>43768</v>
      </c>
      <c r="D236" s="14"/>
      <c r="E236" s="14" t="s">
        <v>263</v>
      </c>
      <c r="F236" s="15" t="s">
        <v>271</v>
      </c>
      <c r="G236" s="21">
        <f>88200-15750</f>
        <v>72450</v>
      </c>
      <c r="H236" s="16" t="s">
        <v>5</v>
      </c>
      <c r="I236" s="19" t="e">
        <f>IF(Paid[[#This Row],[Currency]]="USD",Paid[[#This Row],[Montant]],Paid[[#This Row],[Montant]]/VLOOKUP(Paid[[#This Row],[Date Paid]],TableCurrencyRate[#All],2,FALSE))</f>
        <v>#N/A</v>
      </c>
    </row>
    <row r="237" spans="2:9" x14ac:dyDescent="0.2">
      <c r="B237" s="12">
        <v>43770</v>
      </c>
      <c r="C237" s="13">
        <v>43767</v>
      </c>
      <c r="D237" s="14"/>
      <c r="E237" s="14" t="s">
        <v>60</v>
      </c>
      <c r="F237" s="15" t="s">
        <v>330</v>
      </c>
      <c r="G237" s="21">
        <f>446000+1000</f>
        <v>447000</v>
      </c>
      <c r="H237" s="16" t="s">
        <v>5</v>
      </c>
      <c r="I237" s="19" t="e">
        <f>IF(Paid[[#This Row],[Currency]]="USD",Paid[[#This Row],[Montant]],Paid[[#This Row],[Montant]]/VLOOKUP(Paid[[#This Row],[Date Paid]],TableCurrencyRate[#All],2,FALSE))</f>
        <v>#N/A</v>
      </c>
    </row>
    <row r="238" spans="2:9" x14ac:dyDescent="0.2">
      <c r="B238" s="12">
        <v>43773</v>
      </c>
      <c r="C238" s="9">
        <v>43773</v>
      </c>
      <c r="D238" s="10"/>
      <c r="E238" s="10"/>
      <c r="F238" s="11" t="s">
        <v>332</v>
      </c>
      <c r="G238" s="18">
        <v>32578921</v>
      </c>
      <c r="H238" s="18" t="s">
        <v>5</v>
      </c>
      <c r="I238" s="19" t="e">
        <f>IF(Paid[[#This Row],[Currency]]="USD",Paid[[#This Row],[Montant]],Paid[[#This Row],[Montant]]/VLOOKUP(Paid[[#This Row],[Date Paid]],TableCurrencyRate[#All],2,FALSE))</f>
        <v>#N/A</v>
      </c>
    </row>
    <row r="239" spans="2:9" x14ac:dyDescent="0.2">
      <c r="B239" s="65">
        <v>43774</v>
      </c>
      <c r="C239" s="60">
        <v>43774</v>
      </c>
      <c r="D239" s="61"/>
      <c r="E239" s="61"/>
      <c r="F239" s="11" t="s">
        <v>347</v>
      </c>
      <c r="G239" s="63">
        <f>270000+71600</f>
        <v>341600</v>
      </c>
      <c r="H239" s="18" t="s">
        <v>5</v>
      </c>
      <c r="I239" s="64" t="e">
        <f>IF(Paid[[#This Row],[Currency]]="USD",Paid[[#This Row],[Montant]],Paid[[#This Row],[Montant]]/VLOOKUP(Paid[[#This Row],[Date Paid]],TableCurrencyRate[#All],2,FALSE))</f>
        <v>#N/A</v>
      </c>
    </row>
    <row r="240" spans="2:9" x14ac:dyDescent="0.2">
      <c r="B240" s="65">
        <v>43774</v>
      </c>
      <c r="C240" s="13">
        <v>43740</v>
      </c>
      <c r="D240" s="14"/>
      <c r="E240" s="14"/>
      <c r="F240" s="15" t="s">
        <v>245</v>
      </c>
      <c r="G240" s="37">
        <v>15000</v>
      </c>
      <c r="H240" s="16" t="s">
        <v>5</v>
      </c>
      <c r="I240" s="64" t="e">
        <f>IF(Paid[[#This Row],[Currency]]="USD",Paid[[#This Row],[Montant]],Paid[[#This Row],[Montant]]/VLOOKUP(Paid[[#This Row],[Date Paid]],TableCurrencyRate[#All],2,FALSE))</f>
        <v>#N/A</v>
      </c>
    </row>
    <row r="241" spans="2:9" x14ac:dyDescent="0.2">
      <c r="B241" s="65">
        <v>43774</v>
      </c>
      <c r="C241" s="13">
        <v>43740</v>
      </c>
      <c r="D241" s="14"/>
      <c r="E241" s="14"/>
      <c r="F241" s="15" t="s">
        <v>242</v>
      </c>
      <c r="G241" s="37">
        <v>12000</v>
      </c>
      <c r="H241" s="16" t="s">
        <v>5</v>
      </c>
      <c r="I241" s="64" t="e">
        <f>IF(Paid[[#This Row],[Currency]]="USD",Paid[[#This Row],[Montant]],Paid[[#This Row],[Montant]]/VLOOKUP(Paid[[#This Row],[Date Paid]],TableCurrencyRate[#All],2,FALSE))</f>
        <v>#N/A</v>
      </c>
    </row>
    <row r="242" spans="2:9" x14ac:dyDescent="0.2">
      <c r="B242" s="65">
        <v>43774</v>
      </c>
      <c r="C242" s="13">
        <v>43740</v>
      </c>
      <c r="D242" s="14"/>
      <c r="E242" s="14"/>
      <c r="F242" s="15" t="s">
        <v>243</v>
      </c>
      <c r="G242" s="37">
        <v>12000</v>
      </c>
      <c r="H242" s="16" t="s">
        <v>5</v>
      </c>
      <c r="I242" s="64" t="e">
        <f>IF(Paid[[#This Row],[Currency]]="USD",Paid[[#This Row],[Montant]],Paid[[#This Row],[Montant]]/VLOOKUP(Paid[[#This Row],[Date Paid]],TableCurrencyRate[#All],2,FALSE))</f>
        <v>#N/A</v>
      </c>
    </row>
    <row r="243" spans="2:9" x14ac:dyDescent="0.2">
      <c r="B243" s="65">
        <v>43774</v>
      </c>
      <c r="C243" s="13">
        <v>43740</v>
      </c>
      <c r="D243" s="14"/>
      <c r="E243" s="14"/>
      <c r="F243" s="15" t="s">
        <v>244</v>
      </c>
      <c r="G243" s="37">
        <v>12000</v>
      </c>
      <c r="H243" s="16" t="s">
        <v>5</v>
      </c>
      <c r="I243" s="64" t="e">
        <f>IF(Paid[[#This Row],[Currency]]="USD",Paid[[#This Row],[Montant]],Paid[[#This Row],[Montant]]/VLOOKUP(Paid[[#This Row],[Date Paid]],TableCurrencyRate[#All],2,FALSE))</f>
        <v>#N/A</v>
      </c>
    </row>
    <row r="244" spans="2:9" x14ac:dyDescent="0.2">
      <c r="B244" s="65">
        <v>43774</v>
      </c>
      <c r="C244" s="13">
        <v>43740</v>
      </c>
      <c r="D244" s="14"/>
      <c r="E244" s="14"/>
      <c r="F244" s="15" t="s">
        <v>42</v>
      </c>
      <c r="G244" s="37">
        <v>12000</v>
      </c>
      <c r="H244" s="16" t="s">
        <v>5</v>
      </c>
      <c r="I244" s="64" t="e">
        <f>IF(Paid[[#This Row],[Currency]]="USD",Paid[[#This Row],[Montant]],Paid[[#This Row],[Montant]]/VLOOKUP(Paid[[#This Row],[Date Paid]],TableCurrencyRate[#All],2,FALSE))</f>
        <v>#N/A</v>
      </c>
    </row>
    <row r="245" spans="2:9" x14ac:dyDescent="0.2">
      <c r="B245" s="65">
        <v>43774</v>
      </c>
      <c r="C245" s="13">
        <v>43740</v>
      </c>
      <c r="D245" s="14"/>
      <c r="E245" s="14"/>
      <c r="F245" s="15" t="s">
        <v>43</v>
      </c>
      <c r="G245" s="37">
        <v>12000</v>
      </c>
      <c r="H245" s="16" t="s">
        <v>5</v>
      </c>
      <c r="I245" s="64" t="e">
        <f>IF(Paid[[#This Row],[Currency]]="USD",Paid[[#This Row],[Montant]],Paid[[#This Row],[Montant]]/VLOOKUP(Paid[[#This Row],[Date Paid]],TableCurrencyRate[#All],2,FALSE))</f>
        <v>#N/A</v>
      </c>
    </row>
    <row r="246" spans="2:9" x14ac:dyDescent="0.2">
      <c r="B246" s="65">
        <v>43774</v>
      </c>
      <c r="C246" s="13">
        <v>43740</v>
      </c>
      <c r="D246" s="14"/>
      <c r="E246" s="14"/>
      <c r="F246" s="15" t="s">
        <v>44</v>
      </c>
      <c r="G246" s="37">
        <v>12000</v>
      </c>
      <c r="H246" s="16" t="s">
        <v>5</v>
      </c>
      <c r="I246" s="64" t="e">
        <f>IF(Paid[[#This Row],[Currency]]="USD",Paid[[#This Row],[Montant]],Paid[[#This Row],[Montant]]/VLOOKUP(Paid[[#This Row],[Date Paid]],TableCurrencyRate[#All],2,FALSE))</f>
        <v>#N/A</v>
      </c>
    </row>
    <row r="247" spans="2:9" x14ac:dyDescent="0.2">
      <c r="B247" s="65">
        <v>43774</v>
      </c>
      <c r="C247" s="13">
        <v>43740</v>
      </c>
      <c r="D247" s="14"/>
      <c r="E247" s="14"/>
      <c r="F247" s="15" t="s">
        <v>45</v>
      </c>
      <c r="G247" s="37">
        <v>6000</v>
      </c>
      <c r="H247" s="16" t="s">
        <v>5</v>
      </c>
      <c r="I247" s="64" t="e">
        <f>IF(Paid[[#This Row],[Currency]]="USD",Paid[[#This Row],[Montant]],Paid[[#This Row],[Montant]]/VLOOKUP(Paid[[#This Row],[Date Paid]],TableCurrencyRate[#All],2,FALSE))</f>
        <v>#N/A</v>
      </c>
    </row>
    <row r="248" spans="2:9" x14ac:dyDescent="0.2">
      <c r="B248" s="65">
        <v>43774</v>
      </c>
      <c r="C248" s="60">
        <v>43774</v>
      </c>
      <c r="D248" s="61"/>
      <c r="E248" s="61"/>
      <c r="F248" s="62" t="s">
        <v>348</v>
      </c>
      <c r="G248" s="63">
        <f>395000+47200</f>
        <v>442200</v>
      </c>
      <c r="H248" s="63" t="s">
        <v>5</v>
      </c>
      <c r="I248" s="64" t="e">
        <f>IF(Paid[[#This Row],[Currency]]="USD",Paid[[#This Row],[Montant]],Paid[[#This Row],[Montant]]/VLOOKUP(Paid[[#This Row],[Date Paid]],TableCurrencyRate[#All],2,FALSE))</f>
        <v>#N/A</v>
      </c>
    </row>
    <row r="249" spans="2:9" x14ac:dyDescent="0.2">
      <c r="B249" s="65">
        <v>43774</v>
      </c>
      <c r="C249" s="60">
        <v>43774</v>
      </c>
      <c r="D249" s="61"/>
      <c r="E249" s="61"/>
      <c r="F249" s="62" t="s">
        <v>339</v>
      </c>
      <c r="G249" s="63">
        <v>738500</v>
      </c>
      <c r="H249" s="63" t="s">
        <v>5</v>
      </c>
      <c r="I249" s="64" t="e">
        <f>IF(Paid[[#This Row],[Currency]]="USD",Paid[[#This Row],[Montant]],Paid[[#This Row],[Montant]]/VLOOKUP(Paid[[#This Row],[Date Paid]],TableCurrencyRate[#All],2,FALSE))</f>
        <v>#N/A</v>
      </c>
    </row>
    <row r="250" spans="2:9" x14ac:dyDescent="0.2">
      <c r="B250" s="65">
        <v>43774</v>
      </c>
      <c r="C250" s="60">
        <v>43774</v>
      </c>
      <c r="D250" s="61"/>
      <c r="E250" s="61" t="s">
        <v>263</v>
      </c>
      <c r="F250" s="62" t="s">
        <v>335</v>
      </c>
      <c r="G250" s="63">
        <f>20000-10800</f>
        <v>9200</v>
      </c>
      <c r="H250" s="63" t="s">
        <v>5</v>
      </c>
      <c r="I250" s="64" t="e">
        <f>IF(Paid[[#This Row],[Currency]]="USD",Paid[[#This Row],[Montant]],Paid[[#This Row],[Montant]]/VLOOKUP(Paid[[#This Row],[Date Paid]],TableCurrencyRate[#All],2,FALSE))</f>
        <v>#N/A</v>
      </c>
    </row>
    <row r="251" spans="2:9" x14ac:dyDescent="0.2">
      <c r="B251" s="65">
        <v>43774</v>
      </c>
      <c r="C251" s="60">
        <v>43774</v>
      </c>
      <c r="D251" s="61"/>
      <c r="E251" s="61" t="s">
        <v>60</v>
      </c>
      <c r="F251" s="62" t="s">
        <v>338</v>
      </c>
      <c r="G251" s="63">
        <f>1451600-17150</f>
        <v>1434450</v>
      </c>
      <c r="H251" s="63" t="s">
        <v>5</v>
      </c>
      <c r="I251" s="64" t="e">
        <f>IF(Paid[[#This Row],[Currency]]="USD",Paid[[#This Row],[Montant]],Paid[[#This Row],[Montant]]/VLOOKUP(Paid[[#This Row],[Date Paid]],TableCurrencyRate[#All],2,FALSE))</f>
        <v>#N/A</v>
      </c>
    </row>
    <row r="252" spans="2:9" x14ac:dyDescent="0.2">
      <c r="B252" s="65">
        <v>43774</v>
      </c>
      <c r="C252" s="60">
        <v>43759</v>
      </c>
      <c r="D252" s="61" t="s">
        <v>279</v>
      </c>
      <c r="E252" s="61" t="s">
        <v>263</v>
      </c>
      <c r="F252" s="62" t="s">
        <v>340</v>
      </c>
      <c r="G252" s="63">
        <v>833000</v>
      </c>
      <c r="H252" s="63" t="s">
        <v>5</v>
      </c>
      <c r="I252" s="64" t="e">
        <f>IF(Paid[[#This Row],[Currency]]="USD",Paid[[#This Row],[Montant]],Paid[[#This Row],[Montant]]/VLOOKUP(Paid[[#This Row],[Date Paid]],TableCurrencyRate[#All],2,FALSE))</f>
        <v>#N/A</v>
      </c>
    </row>
    <row r="253" spans="2:9" x14ac:dyDescent="0.2">
      <c r="B253" s="65">
        <v>43774</v>
      </c>
      <c r="C253" s="60">
        <v>43760</v>
      </c>
      <c r="D253" s="61"/>
      <c r="E253" s="61"/>
      <c r="F253" s="62" t="s">
        <v>272</v>
      </c>
      <c r="G253" s="63">
        <v>9000</v>
      </c>
      <c r="H253" s="63" t="s">
        <v>5</v>
      </c>
      <c r="I253" s="64" t="e">
        <f>IF(Paid[[#This Row],[Currency]]="USD",Paid[[#This Row],[Montant]],Paid[[#This Row],[Montant]]/VLOOKUP(Paid[[#This Row],[Date Paid]],TableCurrencyRate[#All],2,FALSE))</f>
        <v>#N/A</v>
      </c>
    </row>
    <row r="254" spans="2:9" x14ac:dyDescent="0.2">
      <c r="B254" s="65">
        <v>43774</v>
      </c>
      <c r="C254" s="60">
        <v>43754</v>
      </c>
      <c r="D254" s="61"/>
      <c r="E254" s="61"/>
      <c r="F254" s="62" t="s">
        <v>275</v>
      </c>
      <c r="G254" s="63">
        <v>6000</v>
      </c>
      <c r="H254" s="63" t="s">
        <v>5</v>
      </c>
      <c r="I254" s="64" t="e">
        <f>IF(Paid[[#This Row],[Currency]]="USD",Paid[[#This Row],[Montant]],Paid[[#This Row],[Montant]]/VLOOKUP(Paid[[#This Row],[Date Paid]],TableCurrencyRate[#All],2,FALSE))</f>
        <v>#N/A</v>
      </c>
    </row>
    <row r="255" spans="2:9" x14ac:dyDescent="0.2">
      <c r="B255" s="65">
        <v>43774</v>
      </c>
      <c r="C255" s="60">
        <v>43771</v>
      </c>
      <c r="D255" s="61"/>
      <c r="E255" s="61"/>
      <c r="F255" s="62" t="s">
        <v>343</v>
      </c>
      <c r="G255" s="63">
        <v>12000</v>
      </c>
      <c r="H255" s="63" t="s">
        <v>5</v>
      </c>
      <c r="I255" s="64" t="e">
        <f>IF(Paid[[#This Row],[Currency]]="USD",Paid[[#This Row],[Montant]],Paid[[#This Row],[Montant]]/VLOOKUP(Paid[[#This Row],[Date Paid]],TableCurrencyRate[#All],2,FALSE))</f>
        <v>#N/A</v>
      </c>
    </row>
    <row r="256" spans="2:9" x14ac:dyDescent="0.2">
      <c r="B256" s="65">
        <v>43774</v>
      </c>
      <c r="C256" s="60">
        <v>43768</v>
      </c>
      <c r="D256" s="61"/>
      <c r="E256" s="61"/>
      <c r="F256" s="62" t="s">
        <v>342</v>
      </c>
      <c r="G256" s="63">
        <v>24300</v>
      </c>
      <c r="H256" s="63" t="s">
        <v>5</v>
      </c>
      <c r="I256" s="64" t="e">
        <f>IF(Paid[[#This Row],[Currency]]="USD",Paid[[#This Row],[Montant]],Paid[[#This Row],[Montant]]/VLOOKUP(Paid[[#This Row],[Date Paid]],TableCurrencyRate[#All],2,FALSE))</f>
        <v>#N/A</v>
      </c>
    </row>
    <row r="257" spans="2:9" x14ac:dyDescent="0.2">
      <c r="B257" s="65">
        <v>43774</v>
      </c>
      <c r="C257" s="60">
        <v>43763</v>
      </c>
      <c r="D257" s="61"/>
      <c r="E257" s="61"/>
      <c r="F257" s="62" t="s">
        <v>341</v>
      </c>
      <c r="G257" s="63">
        <v>26900</v>
      </c>
      <c r="H257" s="63" t="s">
        <v>5</v>
      </c>
      <c r="I257" s="64" t="e">
        <f>IF(Paid[[#This Row],[Currency]]="USD",Paid[[#This Row],[Montant]],Paid[[#This Row],[Montant]]/VLOOKUP(Paid[[#This Row],[Date Paid]],TableCurrencyRate[#All],2,FALSE))</f>
        <v>#N/A</v>
      </c>
    </row>
    <row r="258" spans="2:9" x14ac:dyDescent="0.2">
      <c r="B258" s="65">
        <v>43774</v>
      </c>
      <c r="C258" s="60">
        <v>43771</v>
      </c>
      <c r="D258" s="61"/>
      <c r="E258" s="61"/>
      <c r="F258" s="62" t="s">
        <v>341</v>
      </c>
      <c r="G258" s="63">
        <v>30000</v>
      </c>
      <c r="H258" s="63" t="s">
        <v>5</v>
      </c>
      <c r="I258" s="64" t="e">
        <f>IF(Paid[[#This Row],[Currency]]="USD",Paid[[#This Row],[Montant]],Paid[[#This Row],[Montant]]/VLOOKUP(Paid[[#This Row],[Date Paid]],TableCurrencyRate[#All],2,FALSE))</f>
        <v>#N/A</v>
      </c>
    </row>
    <row r="259" spans="2:9" x14ac:dyDescent="0.2">
      <c r="B259" s="65">
        <v>43774</v>
      </c>
      <c r="C259" s="60">
        <v>43743</v>
      </c>
      <c r="D259" s="61"/>
      <c r="E259" s="61"/>
      <c r="F259" s="62" t="s">
        <v>21</v>
      </c>
      <c r="G259" s="63">
        <v>211400</v>
      </c>
      <c r="H259" s="63" t="s">
        <v>5</v>
      </c>
      <c r="I259" s="64" t="e">
        <f>IF(Paid[[#This Row],[Currency]]="USD",Paid[[#This Row],[Montant]],Paid[[#This Row],[Montant]]/VLOOKUP(Paid[[#This Row],[Date Paid]],TableCurrencyRate[#All],2,FALSE))</f>
        <v>#N/A</v>
      </c>
    </row>
    <row r="260" spans="2:9" x14ac:dyDescent="0.2">
      <c r="B260" s="65">
        <v>43775</v>
      </c>
      <c r="C260" s="13">
        <v>43774</v>
      </c>
      <c r="D260" s="14" t="s">
        <v>336</v>
      </c>
      <c r="E260" s="14" t="s">
        <v>61</v>
      </c>
      <c r="F260" s="15" t="s">
        <v>337</v>
      </c>
      <c r="G260" s="21">
        <f>485600</f>
        <v>485600</v>
      </c>
      <c r="H260" s="16" t="s">
        <v>5</v>
      </c>
      <c r="I260" s="64" t="e">
        <f>IF(Paid[[#This Row],[Currency]]="USD",Paid[[#This Row],[Montant]],Paid[[#This Row],[Montant]]/VLOOKUP(Paid[[#This Row],[Date Paid]],TableCurrencyRate[#All],2,FALSE))</f>
        <v>#N/A</v>
      </c>
    </row>
    <row r="261" spans="2:9" x14ac:dyDescent="0.2">
      <c r="B261" s="65">
        <v>43777</v>
      </c>
      <c r="C261" s="60">
        <v>43777</v>
      </c>
      <c r="D261" s="61"/>
      <c r="E261" s="10" t="s">
        <v>60</v>
      </c>
      <c r="F261" s="11" t="s">
        <v>349</v>
      </c>
      <c r="G261" s="63">
        <v>500000</v>
      </c>
      <c r="H261" s="18" t="s">
        <v>5</v>
      </c>
      <c r="I261" s="64" t="e">
        <f>IF(Paid[[#This Row],[Currency]]="USD",Paid[[#This Row],[Montant]],Paid[[#This Row],[Montant]]/VLOOKUP(Paid[[#This Row],[Date Paid]],TableCurrencyRate[#All],2,FALSE))</f>
        <v>#N/A</v>
      </c>
    </row>
    <row r="262" spans="2:9" x14ac:dyDescent="0.2">
      <c r="B262" s="65">
        <v>43777</v>
      </c>
      <c r="C262" s="60">
        <v>43777</v>
      </c>
      <c r="D262" s="61"/>
      <c r="E262" s="10" t="s">
        <v>352</v>
      </c>
      <c r="F262" s="11" t="s">
        <v>351</v>
      </c>
      <c r="G262" s="63">
        <v>200000</v>
      </c>
      <c r="H262" s="18" t="s">
        <v>5</v>
      </c>
      <c r="I262" s="64" t="e">
        <f>IF(Paid[[#This Row],[Currency]]="USD",Paid[[#This Row],[Montant]],Paid[[#This Row],[Montant]]/VLOOKUP(Paid[[#This Row],[Date Paid]],TableCurrencyRate[#All],2,FALSE))</f>
        <v>#N/A</v>
      </c>
    </row>
    <row r="263" spans="2:9" x14ac:dyDescent="0.2">
      <c r="B263" s="65">
        <v>43782</v>
      </c>
      <c r="C263" s="60">
        <v>43782</v>
      </c>
      <c r="D263" s="61"/>
      <c r="E263" s="10" t="s">
        <v>352</v>
      </c>
      <c r="F263" s="11" t="s">
        <v>351</v>
      </c>
      <c r="G263" s="63">
        <f>91900-20350</f>
        <v>71550</v>
      </c>
      <c r="H263" s="18" t="s">
        <v>5</v>
      </c>
      <c r="I263" s="64" t="e">
        <f>IF(Paid[[#This Row],[Currency]]="USD",Paid[[#This Row],[Montant]],Paid[[#This Row],[Montant]]/VLOOKUP(Paid[[#This Row],[Date Paid]],TableCurrencyRate[#All],2,FALSE))</f>
        <v>#N/A</v>
      </c>
    </row>
    <row r="264" spans="2:9" x14ac:dyDescent="0.2">
      <c r="B264" s="65">
        <v>43782</v>
      </c>
      <c r="C264" s="13">
        <v>43782</v>
      </c>
      <c r="D264" s="14"/>
      <c r="E264" s="14" t="s">
        <v>231</v>
      </c>
      <c r="F264" s="15" t="s">
        <v>344</v>
      </c>
      <c r="G264" s="58">
        <v>164400</v>
      </c>
      <c r="H264" s="16" t="s">
        <v>5</v>
      </c>
      <c r="I264" s="64" t="e">
        <f>IF(Paid[[#This Row],[Currency]]="USD",Paid[[#This Row],[Montant]],Paid[[#This Row],[Montant]]/VLOOKUP(Paid[[#This Row],[Date Paid]],TableCurrencyRate[#All],2,FALSE))</f>
        <v>#N/A</v>
      </c>
    </row>
    <row r="265" spans="2:9" x14ac:dyDescent="0.2">
      <c r="B265" s="59">
        <v>43783</v>
      </c>
      <c r="C265" s="60">
        <v>43754</v>
      </c>
      <c r="D265" s="61"/>
      <c r="E265" s="61"/>
      <c r="F265" s="62" t="s">
        <v>276</v>
      </c>
      <c r="G265" s="63">
        <v>110750</v>
      </c>
      <c r="H265" s="63" t="s">
        <v>5</v>
      </c>
      <c r="I265" s="64" t="e">
        <f>IF(Paid[[#This Row],[Currency]]="USD",Paid[[#This Row],[Montant]],Paid[[#This Row],[Montant]]/VLOOKUP(Paid[[#This Row],[Date Paid]],TableCurrencyRate[#All],2,FALSE))</f>
        <v>#N/A</v>
      </c>
    </row>
    <row r="266" spans="2:9" x14ac:dyDescent="0.2">
      <c r="B266" s="65">
        <v>43783</v>
      </c>
      <c r="C266" s="60">
        <v>43754</v>
      </c>
      <c r="D266" s="61"/>
      <c r="E266" s="61"/>
      <c r="F266" s="62" t="s">
        <v>277</v>
      </c>
      <c r="G266" s="63">
        <v>161350</v>
      </c>
      <c r="H266" s="63" t="s">
        <v>5</v>
      </c>
      <c r="I266" s="64" t="e">
        <f>IF(Paid[[#This Row],[Currency]]="USD",Paid[[#This Row],[Montant]],Paid[[#This Row],[Montant]]/VLOOKUP(Paid[[#This Row],[Date Paid]],TableCurrencyRate[#All],2,FALSE))</f>
        <v>#N/A</v>
      </c>
    </row>
    <row r="267" spans="2:9" x14ac:dyDescent="0.2">
      <c r="B267" s="59">
        <v>43783</v>
      </c>
      <c r="C267" s="60">
        <v>43771</v>
      </c>
      <c r="D267" s="61"/>
      <c r="E267" s="61"/>
      <c r="F267" s="62" t="s">
        <v>345</v>
      </c>
      <c r="G267" s="63">
        <v>136900</v>
      </c>
      <c r="H267" s="63" t="s">
        <v>5</v>
      </c>
      <c r="I267" s="64" t="e">
        <f>IF(Paid[[#This Row],[Currency]]="USD",Paid[[#This Row],[Montant]],Paid[[#This Row],[Montant]]/VLOOKUP(Paid[[#This Row],[Date Paid]],TableCurrencyRate[#All],2,FALSE))</f>
        <v>#N/A</v>
      </c>
    </row>
    <row r="268" spans="2:9" x14ac:dyDescent="0.2">
      <c r="B268" s="65">
        <v>43783</v>
      </c>
      <c r="C268" s="60">
        <v>43754</v>
      </c>
      <c r="D268" s="61"/>
      <c r="E268" s="61"/>
      <c r="F268" s="62" t="s">
        <v>240</v>
      </c>
      <c r="G268" s="63">
        <v>48000</v>
      </c>
      <c r="H268" s="63" t="s">
        <v>5</v>
      </c>
      <c r="I268" s="64" t="e">
        <f>IF(Paid[[#This Row],[Currency]]="USD",Paid[[#This Row],[Montant]],Paid[[#This Row],[Montant]]/VLOOKUP(Paid[[#This Row],[Date Paid]],TableCurrencyRate[#All],2,FALSE))</f>
        <v>#N/A</v>
      </c>
    </row>
    <row r="269" spans="2:9" x14ac:dyDescent="0.2">
      <c r="B269" s="59">
        <v>43783</v>
      </c>
      <c r="C269" s="60">
        <v>43740</v>
      </c>
      <c r="D269" s="61"/>
      <c r="E269" s="61"/>
      <c r="F269" s="62" t="s">
        <v>251</v>
      </c>
      <c r="G269" s="63">
        <v>40500</v>
      </c>
      <c r="H269" s="63" t="s">
        <v>5</v>
      </c>
      <c r="I269" s="64" t="e">
        <f>IF(Paid[[#This Row],[Currency]]="USD",Paid[[#This Row],[Montant]],Paid[[#This Row],[Montant]]/VLOOKUP(Paid[[#This Row],[Date Paid]],TableCurrencyRate[#All],2,FALSE))</f>
        <v>#N/A</v>
      </c>
    </row>
    <row r="270" spans="2:9" x14ac:dyDescent="0.2">
      <c r="B270" s="65">
        <v>43783</v>
      </c>
      <c r="C270" s="13">
        <v>43756</v>
      </c>
      <c r="D270" s="14"/>
      <c r="E270" s="14"/>
      <c r="F270" s="15" t="s">
        <v>280</v>
      </c>
      <c r="G270" s="21">
        <v>25000</v>
      </c>
      <c r="H270" s="16" t="s">
        <v>5</v>
      </c>
      <c r="I270" s="64" t="e">
        <f>IF(Paid[[#This Row],[Currency]]="USD",Paid[[#This Row],[Montant]],Paid[[#This Row],[Montant]]/VLOOKUP(Paid[[#This Row],[Date Paid]],TableCurrencyRate[#All],2,FALSE))</f>
        <v>#N/A</v>
      </c>
    </row>
    <row r="271" spans="2:9" x14ac:dyDescent="0.2">
      <c r="B271" s="59">
        <v>43783</v>
      </c>
      <c r="C271" s="13">
        <v>43745</v>
      </c>
      <c r="D271" s="14"/>
      <c r="E271" s="14"/>
      <c r="F271" s="15" t="s">
        <v>346</v>
      </c>
      <c r="G271" s="58">
        <v>2000</v>
      </c>
      <c r="H271" s="16" t="s">
        <v>5</v>
      </c>
      <c r="I271" s="64" t="e">
        <f>IF(Paid[[#This Row],[Currency]]="USD",Paid[[#This Row],[Montant]],Paid[[#This Row],[Montant]]/VLOOKUP(Paid[[#This Row],[Date Paid]],TableCurrencyRate[#All],2,FALSE))</f>
        <v>#N/A</v>
      </c>
    </row>
    <row r="272" spans="2:9" x14ac:dyDescent="0.2">
      <c r="B272" s="65">
        <v>43783</v>
      </c>
      <c r="C272" s="13">
        <v>43742</v>
      </c>
      <c r="D272" s="14"/>
      <c r="E272" s="14"/>
      <c r="F272" s="15" t="s">
        <v>239</v>
      </c>
      <c r="G272" s="37">
        <v>25000</v>
      </c>
      <c r="H272" s="16" t="s">
        <v>5</v>
      </c>
      <c r="I272" s="64" t="e">
        <f>IF(Paid[[#This Row],[Currency]]="USD",Paid[[#This Row],[Montant]],Paid[[#This Row],[Montant]]/VLOOKUP(Paid[[#This Row],[Date Paid]],TableCurrencyRate[#All],2,FALSE))</f>
        <v>#N/A</v>
      </c>
    </row>
    <row r="273" spans="2:9" x14ac:dyDescent="0.2">
      <c r="B273" s="59">
        <v>43783</v>
      </c>
      <c r="C273" s="13">
        <v>43771</v>
      </c>
      <c r="D273" s="14"/>
      <c r="E273" s="14"/>
      <c r="F273" s="15" t="s">
        <v>21</v>
      </c>
      <c r="G273" s="58">
        <v>207910</v>
      </c>
      <c r="H273" s="16" t="s">
        <v>5</v>
      </c>
      <c r="I273" s="64" t="e">
        <f>IF(Paid[[#This Row],[Currency]]="USD",Paid[[#This Row],[Montant]],Paid[[#This Row],[Montant]]/VLOOKUP(Paid[[#This Row],[Date Paid]],TableCurrencyRate[#All],2,FALSE))</f>
        <v>#N/A</v>
      </c>
    </row>
    <row r="274" spans="2:9" x14ac:dyDescent="0.2">
      <c r="B274" s="65">
        <v>43784</v>
      </c>
      <c r="C274" s="13">
        <v>43777</v>
      </c>
      <c r="D274" s="14" t="s">
        <v>313</v>
      </c>
      <c r="E274" s="14"/>
      <c r="F274" s="15" t="s">
        <v>314</v>
      </c>
      <c r="G274" s="21">
        <v>945</v>
      </c>
      <c r="H274" s="16" t="s">
        <v>6</v>
      </c>
      <c r="I274" s="64">
        <f>IF(Paid[[#This Row],[Currency]]="USD",Paid[[#This Row],[Montant]],Paid[[#This Row],[Montant]]/VLOOKUP(Paid[[#This Row],[Date Paid]],TableCurrencyRate[#All],2,FALSE))</f>
        <v>945</v>
      </c>
    </row>
    <row r="275" spans="2:9" x14ac:dyDescent="0.2">
      <c r="B275" s="65">
        <v>43784</v>
      </c>
      <c r="C275" s="13">
        <v>43773</v>
      </c>
      <c r="D275" s="14"/>
      <c r="E275" s="14"/>
      <c r="F275" s="15" t="s">
        <v>318</v>
      </c>
      <c r="G275" s="21">
        <v>600000</v>
      </c>
      <c r="H275" s="16" t="s">
        <v>5</v>
      </c>
      <c r="I275" s="64" t="e">
        <f>IF(Paid[[#This Row],[Currency]]="USD",Paid[[#This Row],[Montant]],Paid[[#This Row],[Montant]]/VLOOKUP(Paid[[#This Row],[Date Paid]],TableCurrencyRate[#All],2,FALSE))</f>
        <v>#N/A</v>
      </c>
    </row>
    <row r="276" spans="2:9" x14ac:dyDescent="0.2">
      <c r="B276" s="65">
        <v>43784</v>
      </c>
      <c r="C276" s="13">
        <v>43773</v>
      </c>
      <c r="D276" s="14"/>
      <c r="E276" s="14"/>
      <c r="F276" s="15" t="s">
        <v>320</v>
      </c>
      <c r="G276" s="21">
        <v>800000</v>
      </c>
      <c r="H276" s="16" t="s">
        <v>5</v>
      </c>
      <c r="I276" s="64" t="e">
        <f>IF(Paid[[#This Row],[Currency]]="USD",Paid[[#This Row],[Montant]],Paid[[#This Row],[Montant]]/VLOOKUP(Paid[[#This Row],[Date Paid]],TableCurrencyRate[#All],2,FALSE))</f>
        <v>#N/A</v>
      </c>
    </row>
    <row r="277" spans="2:9" x14ac:dyDescent="0.2">
      <c r="B277" s="65">
        <v>43784</v>
      </c>
      <c r="C277" s="60">
        <v>43773</v>
      </c>
      <c r="D277" s="61"/>
      <c r="E277" s="61"/>
      <c r="F277" s="62" t="s">
        <v>317</v>
      </c>
      <c r="G277" s="63">
        <v>700000</v>
      </c>
      <c r="H277" s="63" t="s">
        <v>5</v>
      </c>
      <c r="I277" s="64" t="e">
        <f>IF(Paid[[#This Row],[Currency]]="USD",Paid[[#This Row],[Montant]],Paid[[#This Row],[Montant]]/VLOOKUP(Paid[[#This Row],[Date Paid]],TableCurrencyRate[#All],2,FALSE))</f>
        <v>#N/A</v>
      </c>
    </row>
    <row r="278" spans="2:9" x14ac:dyDescent="0.2">
      <c r="B278" s="65">
        <v>43784</v>
      </c>
      <c r="C278" s="60">
        <v>43773</v>
      </c>
      <c r="D278" s="61"/>
      <c r="E278" s="61"/>
      <c r="F278" s="62" t="s">
        <v>319</v>
      </c>
      <c r="G278" s="63">
        <v>700000</v>
      </c>
      <c r="H278" s="63" t="s">
        <v>5</v>
      </c>
      <c r="I278" s="64" t="e">
        <f>IF(Paid[[#This Row],[Currency]]="USD",Paid[[#This Row],[Montant]],Paid[[#This Row],[Montant]]/VLOOKUP(Paid[[#This Row],[Date Paid]],TableCurrencyRate[#All],2,FALSE))</f>
        <v>#N/A</v>
      </c>
    </row>
    <row r="279" spans="2:9" x14ac:dyDescent="0.2">
      <c r="B279" s="65">
        <v>43784</v>
      </c>
      <c r="C279" s="60">
        <v>43773</v>
      </c>
      <c r="D279" s="61"/>
      <c r="E279" s="61"/>
      <c r="F279" s="62" t="s">
        <v>322</v>
      </c>
      <c r="G279" s="63">
        <v>620000</v>
      </c>
      <c r="H279" s="63" t="s">
        <v>5</v>
      </c>
      <c r="I279" s="64" t="e">
        <f>IF(Paid[[#This Row],[Currency]]="USD",Paid[[#This Row],[Montant]],Paid[[#This Row],[Montant]]/VLOOKUP(Paid[[#This Row],[Date Paid]],TableCurrencyRate[#All],2,FALSE))</f>
        <v>#N/A</v>
      </c>
    </row>
    <row r="280" spans="2:9" x14ac:dyDescent="0.2">
      <c r="B280" s="65">
        <v>43784</v>
      </c>
      <c r="C280" s="13">
        <v>43773</v>
      </c>
      <c r="D280" s="14"/>
      <c r="E280" s="14"/>
      <c r="F280" s="15" t="s">
        <v>321</v>
      </c>
      <c r="G280" s="21">
        <v>748200</v>
      </c>
      <c r="H280" s="16" t="s">
        <v>5</v>
      </c>
      <c r="I280" s="64" t="e">
        <f>IF(Paid[[#This Row],[Currency]]="USD",Paid[[#This Row],[Montant]],Paid[[#This Row],[Montant]]/VLOOKUP(Paid[[#This Row],[Date Paid]],TableCurrencyRate[#All],2,FALSE))</f>
        <v>#N/A</v>
      </c>
    </row>
    <row r="281" spans="2:9" x14ac:dyDescent="0.2">
      <c r="B281" s="65">
        <v>43784</v>
      </c>
      <c r="C281" s="13">
        <v>43777</v>
      </c>
      <c r="D281" s="14"/>
      <c r="E281" s="14" t="s">
        <v>333</v>
      </c>
      <c r="F281" s="15" t="s">
        <v>334</v>
      </c>
      <c r="G281" s="21">
        <f>86000+5850</f>
        <v>91850</v>
      </c>
      <c r="H281" s="16" t="s">
        <v>5</v>
      </c>
      <c r="I281" s="64" t="e">
        <f>IF(Paid[[#This Row],[Currency]]="USD",Paid[[#This Row],[Montant]],Paid[[#This Row],[Montant]]/VLOOKUP(Paid[[#This Row],[Date Paid]],TableCurrencyRate[#All],2,FALSE))</f>
        <v>#N/A</v>
      </c>
    </row>
    <row r="282" spans="2:9" x14ac:dyDescent="0.2">
      <c r="B282" s="65">
        <v>43784</v>
      </c>
      <c r="C282" s="60">
        <v>43784</v>
      </c>
      <c r="D282" s="61"/>
      <c r="E282" s="10" t="s">
        <v>263</v>
      </c>
      <c r="F282" s="11" t="s">
        <v>353</v>
      </c>
      <c r="G282" s="63">
        <f>12000+400</f>
        <v>12400</v>
      </c>
      <c r="H282" s="18" t="s">
        <v>5</v>
      </c>
      <c r="I282" s="64" t="e">
        <f>IF(Paid[[#This Row],[Currency]]="USD",Paid[[#This Row],[Montant]],Paid[[#This Row],[Montant]]/VLOOKUP(Paid[[#This Row],[Date Paid]],TableCurrencyRate[#All],2,FALSE))</f>
        <v>#N/A</v>
      </c>
    </row>
    <row r="283" spans="2:9" x14ac:dyDescent="0.2">
      <c r="B283" s="65">
        <v>43784</v>
      </c>
      <c r="C283" s="60">
        <v>43784</v>
      </c>
      <c r="D283" s="61"/>
      <c r="E283" s="10" t="s">
        <v>60</v>
      </c>
      <c r="F283" s="11" t="s">
        <v>354</v>
      </c>
      <c r="G283" s="63">
        <f>589000-8050</f>
        <v>580950</v>
      </c>
      <c r="H283" s="18" t="s">
        <v>5</v>
      </c>
      <c r="I283" s="64" t="e">
        <f>IF(Paid[[#This Row],[Currency]]="USD",Paid[[#This Row],[Montant]],Paid[[#This Row],[Montant]]/VLOOKUP(Paid[[#This Row],[Date Paid]],TableCurrencyRate[#All],2,FALSE))</f>
        <v>#N/A</v>
      </c>
    </row>
    <row r="284" spans="2:9" x14ac:dyDescent="0.2">
      <c r="B284" s="65">
        <v>43784</v>
      </c>
      <c r="C284" s="60">
        <v>43784</v>
      </c>
      <c r="D284" s="61"/>
      <c r="E284" s="10" t="s">
        <v>355</v>
      </c>
      <c r="F284" s="11" t="s">
        <v>356</v>
      </c>
      <c r="G284" s="63">
        <f>1193250-436000</f>
        <v>757250</v>
      </c>
      <c r="H284" s="18" t="s">
        <v>5</v>
      </c>
      <c r="I284" s="64" t="e">
        <f>IF(Paid[[#This Row],[Currency]]="USD",Paid[[#This Row],[Montant]],Paid[[#This Row],[Montant]]/VLOOKUP(Paid[[#This Row],[Date Paid]],TableCurrencyRate[#All],2,FALSE))</f>
        <v>#N/A</v>
      </c>
    </row>
    <row r="285" spans="2:9" x14ac:dyDescent="0.2">
      <c r="B285" s="65">
        <v>43784</v>
      </c>
      <c r="C285" s="60">
        <v>43784</v>
      </c>
      <c r="D285" s="61"/>
      <c r="E285" s="10" t="s">
        <v>355</v>
      </c>
      <c r="F285" s="11" t="s">
        <v>356</v>
      </c>
      <c r="G285" s="63">
        <f>255000-26800</f>
        <v>228200</v>
      </c>
      <c r="H285" s="18" t="s">
        <v>5</v>
      </c>
      <c r="I285" s="64" t="e">
        <f>IF(Paid[[#This Row],[Currency]]="USD",Paid[[#This Row],[Montant]],Paid[[#This Row],[Montant]]/VLOOKUP(Paid[[#This Row],[Date Paid]],TableCurrencyRate[#All],2,FALSE))</f>
        <v>#N/A</v>
      </c>
    </row>
    <row r="286" spans="2:9" x14ac:dyDescent="0.2">
      <c r="B286" s="65">
        <v>43784</v>
      </c>
      <c r="C286" s="60">
        <v>43784</v>
      </c>
      <c r="D286" s="61"/>
      <c r="E286" s="10" t="s">
        <v>355</v>
      </c>
      <c r="F286" s="11" t="s">
        <v>356</v>
      </c>
      <c r="G286" s="63">
        <f>650800+31900</f>
        <v>682700</v>
      </c>
      <c r="H286" s="18" t="s">
        <v>5</v>
      </c>
      <c r="I286" s="64" t="e">
        <f>IF(Paid[[#This Row],[Currency]]="USD",Paid[[#This Row],[Montant]],Paid[[#This Row],[Montant]]/VLOOKUP(Paid[[#This Row],[Date Paid]],TableCurrencyRate[#All],2,FALSE))</f>
        <v>#N/A</v>
      </c>
    </row>
    <row r="287" spans="2:9" x14ac:dyDescent="0.2">
      <c r="B287" s="65">
        <v>43785</v>
      </c>
      <c r="C287" s="60">
        <v>43785</v>
      </c>
      <c r="D287" s="61"/>
      <c r="E287" s="10" t="s">
        <v>350</v>
      </c>
      <c r="F287" s="11" t="s">
        <v>357</v>
      </c>
      <c r="G287" s="63">
        <v>160000</v>
      </c>
      <c r="H287" s="18" t="s">
        <v>5</v>
      </c>
      <c r="I287" s="64" t="e">
        <f>IF(Paid[[#This Row],[Currency]]="USD",Paid[[#This Row],[Montant]],Paid[[#This Row],[Montant]]/VLOOKUP(Paid[[#This Row],[Date Paid]],TableCurrencyRate[#All],2,FALSE))</f>
        <v>#N/A</v>
      </c>
    </row>
    <row r="288" spans="2:9" x14ac:dyDescent="0.2">
      <c r="B288" s="59">
        <v>43787</v>
      </c>
      <c r="C288" s="60">
        <v>43690</v>
      </c>
      <c r="D288" s="61" t="s">
        <v>9</v>
      </c>
      <c r="E288" s="61"/>
      <c r="F288" s="62" t="s">
        <v>223</v>
      </c>
      <c r="G288" s="63">
        <v>2589.9299999999998</v>
      </c>
      <c r="H288" s="63" t="s">
        <v>6</v>
      </c>
      <c r="I288" s="64">
        <f>IF(Paid[[#This Row],[Currency]]="USD",Paid[[#This Row],[Montant]],Paid[[#This Row],[Montant]]/VLOOKUP(Paid[[#This Row],[Date Paid]],TableCurrencyRate[#All],2,FALSE))</f>
        <v>2589.9299999999998</v>
      </c>
    </row>
    <row r="289" spans="2:9" x14ac:dyDescent="0.2">
      <c r="B289" s="65">
        <v>43787</v>
      </c>
      <c r="C289" s="60">
        <v>43690</v>
      </c>
      <c r="D289" s="61" t="s">
        <v>9</v>
      </c>
      <c r="E289" s="61"/>
      <c r="F289" s="62" t="s">
        <v>224</v>
      </c>
      <c r="G289" s="63">
        <v>756</v>
      </c>
      <c r="H289" s="63" t="s">
        <v>6</v>
      </c>
      <c r="I289" s="64">
        <f>IF(Paid[[#This Row],[Currency]]="USD",Paid[[#This Row],[Montant]],Paid[[#This Row],[Montant]]/VLOOKUP(Paid[[#This Row],[Date Paid]],TableCurrencyRate[#All],2,FALSE))</f>
        <v>756</v>
      </c>
    </row>
    <row r="290" spans="2:9" x14ac:dyDescent="0.2">
      <c r="B290" s="12">
        <v>43787</v>
      </c>
      <c r="C290" s="13">
        <v>43740</v>
      </c>
      <c r="D290" s="14"/>
      <c r="E290" s="14"/>
      <c r="F290" s="15" t="s">
        <v>248</v>
      </c>
      <c r="G290" s="37">
        <v>40000</v>
      </c>
      <c r="H290" s="16" t="s">
        <v>5</v>
      </c>
      <c r="I290" s="19" t="e">
        <f>IF(Paid[[#This Row],[Currency]]="USD",Paid[[#This Row],[Montant]],Paid[[#This Row],[Montant]]/VLOOKUP(Paid[[#This Row],[Date Paid]],TableCurrencyRate[#All],2,FALSE))</f>
        <v>#N/A</v>
      </c>
    </row>
    <row r="291" spans="2:9" x14ac:dyDescent="0.2">
      <c r="B291" s="12">
        <v>43787</v>
      </c>
      <c r="C291" s="13">
        <v>43740</v>
      </c>
      <c r="D291" s="14"/>
      <c r="E291" s="14"/>
      <c r="F291" s="15" t="s">
        <v>250</v>
      </c>
      <c r="G291" s="37">
        <v>34000</v>
      </c>
      <c r="H291" s="16" t="s">
        <v>5</v>
      </c>
      <c r="I291" s="19" t="e">
        <f>IF(Paid[[#This Row],[Currency]]="USD",Paid[[#This Row],[Montant]],Paid[[#This Row],[Montant]]/VLOOKUP(Paid[[#This Row],[Date Paid]],TableCurrencyRate[#All],2,FALSE))</f>
        <v>#N/A</v>
      </c>
    </row>
    <row r="292" spans="2:9" x14ac:dyDescent="0.2">
      <c r="B292" s="12">
        <v>43787</v>
      </c>
      <c r="C292" s="9">
        <v>43785</v>
      </c>
      <c r="D292" s="10"/>
      <c r="E292" s="10"/>
      <c r="F292" s="11" t="s">
        <v>375</v>
      </c>
      <c r="G292" s="18">
        <v>25300</v>
      </c>
      <c r="H292" s="18" t="s">
        <v>5</v>
      </c>
      <c r="I292" s="19" t="e">
        <f>IF(Paid[[#This Row],[Currency]]="USD",Paid[[#This Row],[Montant]],Paid[[#This Row],[Montant]]/VLOOKUP(Paid[[#This Row],[Date Paid]],TableCurrencyRate[#All],2,FALSE))</f>
        <v>#N/A</v>
      </c>
    </row>
    <row r="293" spans="2:9" x14ac:dyDescent="0.2">
      <c r="B293" s="12">
        <v>43787</v>
      </c>
      <c r="C293" s="9">
        <v>43771</v>
      </c>
      <c r="D293" s="10"/>
      <c r="E293" s="10"/>
      <c r="F293" s="11" t="s">
        <v>384</v>
      </c>
      <c r="G293" s="18">
        <v>36500</v>
      </c>
      <c r="H293" s="18" t="s">
        <v>5</v>
      </c>
      <c r="I293" s="19" t="e">
        <f>IF(Paid[[#This Row],[Currency]]="USD",Paid[[#This Row],[Montant]],Paid[[#This Row],[Montant]]/VLOOKUP(Paid[[#This Row],[Date Paid]],TableCurrencyRate[#All],2,FALSE))</f>
        <v>#N/A</v>
      </c>
    </row>
    <row r="294" spans="2:9" x14ac:dyDescent="0.2">
      <c r="B294" s="12">
        <v>43787</v>
      </c>
      <c r="C294" s="9">
        <v>43740</v>
      </c>
      <c r="D294" s="10"/>
      <c r="E294" s="10"/>
      <c r="F294" s="11" t="s">
        <v>249</v>
      </c>
      <c r="G294" s="18">
        <v>39000</v>
      </c>
      <c r="H294" s="18" t="s">
        <v>5</v>
      </c>
      <c r="I294" s="19" t="e">
        <f>IF(Paid[[#This Row],[Currency]]="USD",Paid[[#This Row],[Montant]],Paid[[#This Row],[Montant]]/VLOOKUP(Paid[[#This Row],[Date Paid]],TableCurrencyRate[#All],2,FALSE))</f>
        <v>#N/A</v>
      </c>
    </row>
    <row r="295" spans="2:9" x14ac:dyDescent="0.2">
      <c r="B295" s="12">
        <v>43787</v>
      </c>
      <c r="C295" s="9">
        <v>43771</v>
      </c>
      <c r="D295" s="10"/>
      <c r="E295" s="10"/>
      <c r="F295" s="11" t="s">
        <v>385</v>
      </c>
      <c r="G295" s="18">
        <v>44500</v>
      </c>
      <c r="H295" s="18" t="s">
        <v>5</v>
      </c>
      <c r="I295" s="19" t="e">
        <f>IF(Paid[[#This Row],[Currency]]="USD",Paid[[#This Row],[Montant]],Paid[[#This Row],[Montant]]/VLOOKUP(Paid[[#This Row],[Date Paid]],TableCurrencyRate[#All],2,FALSE))</f>
        <v>#N/A</v>
      </c>
    </row>
    <row r="296" spans="2:9" x14ac:dyDescent="0.2">
      <c r="B296" s="12">
        <v>43787</v>
      </c>
      <c r="C296" s="13">
        <v>43767</v>
      </c>
      <c r="D296" s="14"/>
      <c r="E296" s="14"/>
      <c r="F296" s="15" t="s">
        <v>382</v>
      </c>
      <c r="G296" s="58">
        <v>20000</v>
      </c>
      <c r="H296" s="16" t="s">
        <v>5</v>
      </c>
      <c r="I296" s="19" t="e">
        <f>IF(Paid[[#This Row],[Currency]]="USD",Paid[[#This Row],[Montant]],Paid[[#This Row],[Montant]]/VLOOKUP(Paid[[#This Row],[Date Paid]],TableCurrencyRate[#All],2,FALSE))</f>
        <v>#N/A</v>
      </c>
    </row>
    <row r="297" spans="2:9" x14ac:dyDescent="0.2">
      <c r="B297" s="12">
        <v>43787</v>
      </c>
      <c r="C297" s="13">
        <v>43776</v>
      </c>
      <c r="D297" s="14"/>
      <c r="E297" s="14"/>
      <c r="F297" s="15" t="s">
        <v>406</v>
      </c>
      <c r="G297" s="58">
        <v>12000</v>
      </c>
      <c r="H297" s="16" t="s">
        <v>5</v>
      </c>
      <c r="I297" s="19" t="e">
        <f>IF(Paid[[#This Row],[Currency]]="USD",Paid[[#This Row],[Montant]],Paid[[#This Row],[Montant]]/VLOOKUP(Paid[[#This Row],[Date Paid]],TableCurrencyRate[#All],2,FALSE))</f>
        <v>#N/A</v>
      </c>
    </row>
    <row r="298" spans="2:9" x14ac:dyDescent="0.2">
      <c r="B298" s="12">
        <v>43787</v>
      </c>
      <c r="C298" s="13">
        <v>43740</v>
      </c>
      <c r="D298" s="14"/>
      <c r="E298" s="14"/>
      <c r="F298" s="15" t="s">
        <v>246</v>
      </c>
      <c r="G298" s="37">
        <v>38000</v>
      </c>
      <c r="H298" s="16" t="s">
        <v>5</v>
      </c>
      <c r="I298" s="19" t="e">
        <f>IF(Paid[[#This Row],[Currency]]="USD",Paid[[#This Row],[Montant]],Paid[[#This Row],[Montant]]/VLOOKUP(Paid[[#This Row],[Date Paid]],TableCurrencyRate[#All],2,FALSE))</f>
        <v>#N/A</v>
      </c>
    </row>
    <row r="299" spans="2:9" x14ac:dyDescent="0.2">
      <c r="B299" s="12">
        <v>43787</v>
      </c>
      <c r="C299" s="13">
        <v>43776</v>
      </c>
      <c r="D299" s="14"/>
      <c r="E299" s="14"/>
      <c r="F299" s="15" t="s">
        <v>407</v>
      </c>
      <c r="G299" s="58">
        <v>15000</v>
      </c>
      <c r="H299" s="16" t="s">
        <v>5</v>
      </c>
      <c r="I299" s="19" t="e">
        <f>IF(Paid[[#This Row],[Currency]]="USD",Paid[[#This Row],[Montant]],Paid[[#This Row],[Montant]]/VLOOKUP(Paid[[#This Row],[Date Paid]],TableCurrencyRate[#All],2,FALSE))</f>
        <v>#N/A</v>
      </c>
    </row>
    <row r="300" spans="2:9" x14ac:dyDescent="0.2">
      <c r="B300" s="12">
        <v>43787</v>
      </c>
      <c r="C300" s="9">
        <v>43776</v>
      </c>
      <c r="D300" s="10"/>
      <c r="E300" s="10"/>
      <c r="F300" s="11" t="s">
        <v>376</v>
      </c>
      <c r="G300" s="18">
        <v>15000</v>
      </c>
      <c r="H300" s="18" t="s">
        <v>5</v>
      </c>
      <c r="I300" s="19" t="e">
        <f>IF(Paid[[#This Row],[Currency]]="USD",Paid[[#This Row],[Montant]],Paid[[#This Row],[Montant]]/VLOOKUP(Paid[[#This Row],[Date Paid]],TableCurrencyRate[#All],2,FALSE))</f>
        <v>#N/A</v>
      </c>
    </row>
    <row r="301" spans="2:9" x14ac:dyDescent="0.2">
      <c r="B301" s="12">
        <v>43787</v>
      </c>
      <c r="C301" s="9">
        <v>43776</v>
      </c>
      <c r="D301" s="10"/>
      <c r="E301" s="10"/>
      <c r="F301" s="11" t="s">
        <v>377</v>
      </c>
      <c r="G301" s="18">
        <v>15000</v>
      </c>
      <c r="H301" s="18" t="s">
        <v>5</v>
      </c>
      <c r="I301" s="19" t="e">
        <f>IF(Paid[[#This Row],[Currency]]="USD",Paid[[#This Row],[Montant]],Paid[[#This Row],[Montant]]/VLOOKUP(Paid[[#This Row],[Date Paid]],TableCurrencyRate[#All],2,FALSE))</f>
        <v>#N/A</v>
      </c>
    </row>
    <row r="302" spans="2:9" x14ac:dyDescent="0.2">
      <c r="B302" s="12">
        <v>43787</v>
      </c>
      <c r="C302" s="9">
        <v>43776</v>
      </c>
      <c r="D302" s="10"/>
      <c r="E302" s="10"/>
      <c r="F302" s="11" t="s">
        <v>378</v>
      </c>
      <c r="G302" s="18">
        <v>6000</v>
      </c>
      <c r="H302" s="18" t="s">
        <v>5</v>
      </c>
      <c r="I302" s="19" t="e">
        <f>IF(Paid[[#This Row],[Currency]]="USD",Paid[[#This Row],[Montant]],Paid[[#This Row],[Montant]]/VLOOKUP(Paid[[#This Row],[Date Paid]],TableCurrencyRate[#All],2,FALSE))</f>
        <v>#N/A</v>
      </c>
    </row>
    <row r="303" spans="2:9" x14ac:dyDescent="0.2">
      <c r="B303" s="12">
        <v>43787</v>
      </c>
      <c r="C303" s="9">
        <v>43776</v>
      </c>
      <c r="D303" s="10"/>
      <c r="E303" s="10"/>
      <c r="F303" s="11" t="s">
        <v>379</v>
      </c>
      <c r="G303" s="18">
        <v>15000</v>
      </c>
      <c r="H303" s="18" t="s">
        <v>5</v>
      </c>
      <c r="I303" s="19" t="e">
        <f>IF(Paid[[#This Row],[Currency]]="USD",Paid[[#This Row],[Montant]],Paid[[#This Row],[Montant]]/VLOOKUP(Paid[[#This Row],[Date Paid]],TableCurrencyRate[#All],2,FALSE))</f>
        <v>#N/A</v>
      </c>
    </row>
    <row r="304" spans="2:9" x14ac:dyDescent="0.2">
      <c r="B304" s="12">
        <v>43787</v>
      </c>
      <c r="C304" s="9">
        <v>43776</v>
      </c>
      <c r="D304" s="10"/>
      <c r="E304" s="10"/>
      <c r="F304" s="11" t="s">
        <v>380</v>
      </c>
      <c r="G304" s="18">
        <v>15000</v>
      </c>
      <c r="H304" s="18" t="s">
        <v>5</v>
      </c>
      <c r="I304" s="19" t="e">
        <f>IF(Paid[[#This Row],[Currency]]="USD",Paid[[#This Row],[Montant]],Paid[[#This Row],[Montant]]/VLOOKUP(Paid[[#This Row],[Date Paid]],TableCurrencyRate[#All],2,FALSE))</f>
        <v>#N/A</v>
      </c>
    </row>
    <row r="305" spans="2:9" x14ac:dyDescent="0.2">
      <c r="B305" s="12">
        <v>43787</v>
      </c>
      <c r="C305" s="9">
        <v>43776</v>
      </c>
      <c r="D305" s="10"/>
      <c r="E305" s="10"/>
      <c r="F305" s="11" t="s">
        <v>381</v>
      </c>
      <c r="G305" s="18">
        <v>15000</v>
      </c>
      <c r="H305" s="18" t="s">
        <v>5</v>
      </c>
      <c r="I305" s="19" t="e">
        <f>IF(Paid[[#This Row],[Currency]]="USD",Paid[[#This Row],[Montant]],Paid[[#This Row],[Montant]]/VLOOKUP(Paid[[#This Row],[Date Paid]],TableCurrencyRate[#All],2,FALSE))</f>
        <v>#N/A</v>
      </c>
    </row>
    <row r="306" spans="2:9" x14ac:dyDescent="0.2">
      <c r="B306" s="12">
        <v>43787</v>
      </c>
      <c r="C306" s="9">
        <v>43782</v>
      </c>
      <c r="D306" s="10"/>
      <c r="E306" s="10"/>
      <c r="F306" s="11" t="s">
        <v>383</v>
      </c>
      <c r="G306" s="18">
        <v>16000</v>
      </c>
      <c r="H306" s="18" t="s">
        <v>5</v>
      </c>
      <c r="I306" s="19" t="e">
        <f>IF(Paid[[#This Row],[Currency]]="USD",Paid[[#This Row],[Montant]],Paid[[#This Row],[Montant]]/VLOOKUP(Paid[[#This Row],[Date Paid]],TableCurrencyRate[#All],2,FALSE))</f>
        <v>#N/A</v>
      </c>
    </row>
    <row r="307" spans="2:9" x14ac:dyDescent="0.2">
      <c r="B307" s="12">
        <v>43787</v>
      </c>
      <c r="C307" s="9">
        <v>43775</v>
      </c>
      <c r="D307" s="10"/>
      <c r="E307" s="10"/>
      <c r="F307" s="11" t="s">
        <v>386</v>
      </c>
      <c r="G307" s="18">
        <v>46000</v>
      </c>
      <c r="H307" s="18" t="s">
        <v>5</v>
      </c>
      <c r="I307" s="19" t="e">
        <f>IF(Paid[[#This Row],[Currency]]="USD",Paid[[#This Row],[Montant]],Paid[[#This Row],[Montant]]/VLOOKUP(Paid[[#This Row],[Date Paid]],TableCurrencyRate[#All],2,FALSE))</f>
        <v>#N/A</v>
      </c>
    </row>
    <row r="308" spans="2:9" x14ac:dyDescent="0.2">
      <c r="B308" s="12">
        <v>43787</v>
      </c>
      <c r="C308" s="9">
        <v>43740</v>
      </c>
      <c r="D308" s="10"/>
      <c r="E308" s="10"/>
      <c r="F308" s="11" t="s">
        <v>374</v>
      </c>
      <c r="G308" s="18">
        <v>40000</v>
      </c>
      <c r="H308" s="18" t="s">
        <v>5</v>
      </c>
      <c r="I308" s="19" t="e">
        <f>IF(Paid[[#This Row],[Currency]]="USD",Paid[[#This Row],[Montant]],Paid[[#This Row],[Montant]]/VLOOKUP(Paid[[#This Row],[Date Paid]],TableCurrencyRate[#All],2,FALSE))</f>
        <v>#N/A</v>
      </c>
    </row>
    <row r="309" spans="2:9" x14ac:dyDescent="0.2">
      <c r="B309" s="12">
        <v>43787</v>
      </c>
      <c r="C309" s="9">
        <v>43740</v>
      </c>
      <c r="D309" s="10"/>
      <c r="E309" s="10"/>
      <c r="F309" s="11" t="s">
        <v>247</v>
      </c>
      <c r="G309" s="18">
        <v>40000</v>
      </c>
      <c r="H309" s="18" t="s">
        <v>5</v>
      </c>
      <c r="I309" s="19" t="e">
        <f>IF(Paid[[#This Row],[Currency]]="USD",Paid[[#This Row],[Montant]],Paid[[#This Row],[Montant]]/VLOOKUP(Paid[[#This Row],[Date Paid]],TableCurrencyRate[#All],2,FALSE))</f>
        <v>#N/A</v>
      </c>
    </row>
    <row r="310" spans="2:9" x14ac:dyDescent="0.2">
      <c r="B310" s="12">
        <v>43787</v>
      </c>
      <c r="C310" s="9">
        <v>43740</v>
      </c>
      <c r="D310" s="10"/>
      <c r="E310" s="10"/>
      <c r="F310" s="11" t="s">
        <v>253</v>
      </c>
      <c r="G310" s="18">
        <v>9000</v>
      </c>
      <c r="H310" s="18" t="s">
        <v>5</v>
      </c>
      <c r="I310" s="19" t="e">
        <f>IF(Paid[[#This Row],[Currency]]="USD",Paid[[#This Row],[Montant]],Paid[[#This Row],[Montant]]/VLOOKUP(Paid[[#This Row],[Date Paid]],TableCurrencyRate[#All],2,FALSE))</f>
        <v>#N/A</v>
      </c>
    </row>
    <row r="311" spans="2:9" x14ac:dyDescent="0.2">
      <c r="B311" s="12">
        <v>43787</v>
      </c>
      <c r="C311" s="9">
        <v>43740</v>
      </c>
      <c r="D311" s="10"/>
      <c r="E311" s="10"/>
      <c r="F311" s="11" t="s">
        <v>254</v>
      </c>
      <c r="G311" s="18">
        <v>12000</v>
      </c>
      <c r="H311" s="18" t="s">
        <v>5</v>
      </c>
      <c r="I311" s="19" t="e">
        <f>IF(Paid[[#This Row],[Currency]]="USD",Paid[[#This Row],[Montant]],Paid[[#This Row],[Montant]]/VLOOKUP(Paid[[#This Row],[Date Paid]],TableCurrencyRate[#All],2,FALSE))</f>
        <v>#N/A</v>
      </c>
    </row>
    <row r="312" spans="2:9" x14ac:dyDescent="0.2">
      <c r="B312" s="12">
        <v>43787</v>
      </c>
      <c r="C312" s="9">
        <v>43740</v>
      </c>
      <c r="D312" s="10"/>
      <c r="E312" s="10"/>
      <c r="F312" s="11" t="s">
        <v>373</v>
      </c>
      <c r="G312" s="18">
        <v>40000</v>
      </c>
      <c r="H312" s="18" t="s">
        <v>5</v>
      </c>
      <c r="I312" s="19" t="e">
        <f>IF(Paid[[#This Row],[Currency]]="USD",Paid[[#This Row],[Montant]],Paid[[#This Row],[Montant]]/VLOOKUP(Paid[[#This Row],[Date Paid]],TableCurrencyRate[#All],2,FALSE))</f>
        <v>#N/A</v>
      </c>
    </row>
    <row r="313" spans="2:9" x14ac:dyDescent="0.2">
      <c r="B313" s="12">
        <v>43787</v>
      </c>
      <c r="C313" s="9">
        <v>43740</v>
      </c>
      <c r="D313" s="10"/>
      <c r="E313" s="10"/>
      <c r="F313" s="11" t="s">
        <v>241</v>
      </c>
      <c r="G313" s="18">
        <v>126000</v>
      </c>
      <c r="H313" s="18" t="s">
        <v>5</v>
      </c>
      <c r="I313" s="19" t="e">
        <f>IF(Paid[[#This Row],[Currency]]="USD",Paid[[#This Row],[Montant]],Paid[[#This Row],[Montant]]/VLOOKUP(Paid[[#This Row],[Date Paid]],TableCurrencyRate[#All],2,FALSE))</f>
        <v>#N/A</v>
      </c>
    </row>
    <row r="314" spans="2:9" x14ac:dyDescent="0.2">
      <c r="B314" s="12">
        <v>43787</v>
      </c>
      <c r="C314" s="9">
        <v>43740</v>
      </c>
      <c r="D314" s="10"/>
      <c r="E314" s="10"/>
      <c r="F314" s="11" t="s">
        <v>252</v>
      </c>
      <c r="G314" s="18">
        <v>51000</v>
      </c>
      <c r="H314" s="18" t="s">
        <v>5</v>
      </c>
      <c r="I314" s="19" t="e">
        <f>IF(Paid[[#This Row],[Currency]]="USD",Paid[[#This Row],[Montant]],Paid[[#This Row],[Montant]]/VLOOKUP(Paid[[#This Row],[Date Paid]],TableCurrencyRate[#All],2,FALSE))</f>
        <v>#N/A</v>
      </c>
    </row>
    <row r="315" spans="2:9" x14ac:dyDescent="0.2">
      <c r="B315" s="12">
        <v>43787</v>
      </c>
      <c r="C315" s="9">
        <v>43773</v>
      </c>
      <c r="D315" s="10"/>
      <c r="E315" s="10"/>
      <c r="F315" s="11" t="s">
        <v>408</v>
      </c>
      <c r="G315" s="18">
        <v>99200</v>
      </c>
      <c r="H315" s="18" t="s">
        <v>5</v>
      </c>
      <c r="I315" s="19" t="e">
        <f>IF(Paid[[#This Row],[Currency]]="USD",Paid[[#This Row],[Montant]],Paid[[#This Row],[Montant]]/VLOOKUP(Paid[[#This Row],[Date Paid]],TableCurrencyRate[#All],2,FALSE))</f>
        <v>#N/A</v>
      </c>
    </row>
    <row r="316" spans="2:9" x14ac:dyDescent="0.2">
      <c r="B316" s="12">
        <v>43787</v>
      </c>
      <c r="C316" s="55">
        <v>43787</v>
      </c>
      <c r="D316" s="16"/>
      <c r="E316" s="16"/>
      <c r="F316" s="56" t="s">
        <v>364</v>
      </c>
      <c r="G316" s="21">
        <v>50</v>
      </c>
      <c r="H316" s="16" t="s">
        <v>6</v>
      </c>
      <c r="I316" s="19">
        <f>IF(Paid[[#This Row],[Currency]]="USD",Paid[[#This Row],[Montant]],Paid[[#This Row],[Montant]]/VLOOKUP(Paid[[#This Row],[Date Paid]],TableCurrencyRate[#All],2,FALSE))</f>
        <v>50</v>
      </c>
    </row>
    <row r="317" spans="2:9" x14ac:dyDescent="0.2">
      <c r="B317" s="12">
        <v>43787</v>
      </c>
      <c r="C317" s="55">
        <v>43777</v>
      </c>
      <c r="D317" s="16" t="s">
        <v>324</v>
      </c>
      <c r="E317" s="16" t="s">
        <v>325</v>
      </c>
      <c r="F317" s="56" t="s">
        <v>326</v>
      </c>
      <c r="G317" s="21">
        <v>14236023</v>
      </c>
      <c r="H317" s="16" t="s">
        <v>5</v>
      </c>
      <c r="I317" s="19" t="e">
        <f>IF(Paid[[#This Row],[Currency]]="USD",Paid[[#This Row],[Montant]],Paid[[#This Row],[Montant]]/VLOOKUP(Paid[[#This Row],[Date Paid]],TableCurrencyRate[#All],2,FALSE))</f>
        <v>#N/A</v>
      </c>
    </row>
    <row r="318" spans="2:9" x14ac:dyDescent="0.2">
      <c r="B318" s="12">
        <v>43787</v>
      </c>
      <c r="C318" s="55">
        <v>43787</v>
      </c>
      <c r="D318" s="16" t="s">
        <v>324</v>
      </c>
      <c r="E318" s="16"/>
      <c r="F318" s="56" t="s">
        <v>358</v>
      </c>
      <c r="G318" s="21">
        <v>5460644</v>
      </c>
      <c r="H318" s="16" t="s">
        <v>5</v>
      </c>
      <c r="I318" s="19" t="e">
        <f>IF(Paid[[#This Row],[Currency]]="USD",Paid[[#This Row],[Montant]],Paid[[#This Row],[Montant]]/VLOOKUP(Paid[[#This Row],[Date Paid]],TableCurrencyRate[#All],2,FALSE))</f>
        <v>#N/A</v>
      </c>
    </row>
    <row r="319" spans="2:9" x14ac:dyDescent="0.2">
      <c r="B319" s="12">
        <v>43787</v>
      </c>
      <c r="C319" s="13">
        <v>43782</v>
      </c>
      <c r="D319" s="14"/>
      <c r="E319" s="14"/>
      <c r="F319" s="15" t="s">
        <v>372</v>
      </c>
      <c r="G319" s="58">
        <f>395000-44400</f>
        <v>350600</v>
      </c>
      <c r="H319" s="16" t="s">
        <v>5</v>
      </c>
      <c r="I319" s="19" t="e">
        <f>IF(Paid[[#This Row],[Currency]]="USD",Paid[[#This Row],[Montant]],Paid[[#This Row],[Montant]]/VLOOKUP(Paid[[#This Row],[Date Paid]],TableCurrencyRate[#All],2,FALSE))</f>
        <v>#N/A</v>
      </c>
    </row>
    <row r="320" spans="2:9" x14ac:dyDescent="0.2">
      <c r="B320" s="12">
        <v>43787</v>
      </c>
      <c r="C320" s="13">
        <v>43683</v>
      </c>
      <c r="D320" s="14"/>
      <c r="E320" s="14" t="s">
        <v>63</v>
      </c>
      <c r="F320" s="15" t="s">
        <v>299</v>
      </c>
      <c r="G320" s="21">
        <v>604</v>
      </c>
      <c r="H320" s="16" t="s">
        <v>6</v>
      </c>
      <c r="I320" s="19">
        <f>IF(Paid[[#This Row],[Currency]]="USD",Paid[[#This Row],[Montant]],Paid[[#This Row],[Montant]]/VLOOKUP(Paid[[#This Row],[Date Paid]],TableCurrencyRate[#All],2,FALSE))</f>
        <v>604</v>
      </c>
    </row>
    <row r="321" spans="2:9" x14ac:dyDescent="0.2">
      <c r="B321" s="12">
        <v>43787</v>
      </c>
      <c r="C321" s="13">
        <v>43763</v>
      </c>
      <c r="D321" s="14"/>
      <c r="E321" s="14"/>
      <c r="F321" s="15" t="s">
        <v>16</v>
      </c>
      <c r="G321" s="21">
        <f>200000+36500</f>
        <v>236500</v>
      </c>
      <c r="H321" s="16" t="s">
        <v>5</v>
      </c>
      <c r="I321" s="19" t="e">
        <f>IF(Paid[[#This Row],[Currency]]="USD",Paid[[#This Row],[Montant]],Paid[[#This Row],[Montant]]/VLOOKUP(Paid[[#This Row],[Date Paid]],TableCurrencyRate[#All],2,FALSE))</f>
        <v>#N/A</v>
      </c>
    </row>
    <row r="322" spans="2:9" x14ac:dyDescent="0.2">
      <c r="B322" s="12">
        <v>43787</v>
      </c>
      <c r="C322" s="13">
        <v>43644</v>
      </c>
      <c r="D322" s="14"/>
      <c r="E322" s="14"/>
      <c r="F322" s="15" t="s">
        <v>18</v>
      </c>
      <c r="G322" s="27">
        <v>378</v>
      </c>
      <c r="H322" s="16" t="s">
        <v>6</v>
      </c>
      <c r="I322" s="19">
        <f>IF(Paid[[#This Row],[Currency]]="USD",Paid[[#This Row],[Montant]],Paid[[#This Row],[Montant]]/VLOOKUP(Paid[[#This Row],[Date Paid]],TableCurrencyRate[#All],2,FALSE))</f>
        <v>378</v>
      </c>
    </row>
    <row r="323" spans="2:9" x14ac:dyDescent="0.2">
      <c r="B323" s="12">
        <v>43787</v>
      </c>
      <c r="C323" s="13">
        <v>43728</v>
      </c>
      <c r="D323" s="14"/>
      <c r="E323" s="14" t="s">
        <v>355</v>
      </c>
      <c r="F323" s="15" t="s">
        <v>361</v>
      </c>
      <c r="G323" s="58">
        <v>707</v>
      </c>
      <c r="H323" s="16" t="s">
        <v>6</v>
      </c>
      <c r="I323" s="19">
        <f>IF(Paid[[#This Row],[Currency]]="USD",Paid[[#This Row],[Montant]],Paid[[#This Row],[Montant]]/VLOOKUP(Paid[[#This Row],[Date Paid]],TableCurrencyRate[#All],2,FALSE))</f>
        <v>707</v>
      </c>
    </row>
    <row r="324" spans="2:9" x14ac:dyDescent="0.2">
      <c r="B324" s="12">
        <v>43787</v>
      </c>
      <c r="C324" s="13">
        <v>43785</v>
      </c>
      <c r="D324" s="14"/>
      <c r="E324" s="14" t="s">
        <v>355</v>
      </c>
      <c r="F324" s="15" t="s">
        <v>362</v>
      </c>
      <c r="G324" s="58">
        <v>100</v>
      </c>
      <c r="H324" s="16" t="s">
        <v>6</v>
      </c>
      <c r="I324" s="19">
        <f>IF(Paid[[#This Row],[Currency]]="USD",Paid[[#This Row],[Montant]],Paid[[#This Row],[Montant]]/VLOOKUP(Paid[[#This Row],[Date Paid]],TableCurrencyRate[#All],2,FALSE))</f>
        <v>100</v>
      </c>
    </row>
    <row r="325" spans="2:9" x14ac:dyDescent="0.2">
      <c r="B325" s="12">
        <v>43787</v>
      </c>
      <c r="C325" s="13">
        <v>43787</v>
      </c>
      <c r="D325" s="14"/>
      <c r="E325" s="14"/>
      <c r="F325" s="15" t="s">
        <v>363</v>
      </c>
      <c r="G325" s="58">
        <v>763</v>
      </c>
      <c r="H325" s="16" t="s">
        <v>6</v>
      </c>
      <c r="I325" s="19">
        <f>IF(Paid[[#This Row],[Currency]]="USD",Paid[[#This Row],[Montant]],Paid[[#This Row],[Montant]]/VLOOKUP(Paid[[#This Row],[Date Paid]],TableCurrencyRate[#All],2,FALSE))</f>
        <v>763</v>
      </c>
    </row>
    <row r="326" spans="2:9" x14ac:dyDescent="0.2">
      <c r="B326" s="12">
        <v>43787</v>
      </c>
      <c r="C326" s="13">
        <v>43775</v>
      </c>
      <c r="D326" s="14"/>
      <c r="E326" s="14" t="s">
        <v>352</v>
      </c>
      <c r="F326" s="15" t="s">
        <v>367</v>
      </c>
      <c r="G326" s="58">
        <f>663645-360000</f>
        <v>303645</v>
      </c>
      <c r="H326" s="16" t="s">
        <v>5</v>
      </c>
      <c r="I326" s="19" t="e">
        <f>IF(Paid[[#This Row],[Currency]]="USD",Paid[[#This Row],[Montant]],Paid[[#This Row],[Montant]]/VLOOKUP(Paid[[#This Row],[Date Paid]],TableCurrencyRate[#All],2,FALSE))</f>
        <v>#N/A</v>
      </c>
    </row>
    <row r="327" spans="2:9" x14ac:dyDescent="0.2">
      <c r="B327" s="12">
        <v>43787</v>
      </c>
      <c r="C327" s="13">
        <v>43787</v>
      </c>
      <c r="D327" s="14"/>
      <c r="E327" s="14" t="s">
        <v>355</v>
      </c>
      <c r="F327" s="15" t="s">
        <v>365</v>
      </c>
      <c r="G327" s="58">
        <f>100000-16000</f>
        <v>84000</v>
      </c>
      <c r="H327" s="16" t="s">
        <v>5</v>
      </c>
      <c r="I327" s="19" t="e">
        <f>IF(Paid[[#This Row],[Currency]]="USD",Paid[[#This Row],[Montant]],Paid[[#This Row],[Montant]]/VLOOKUP(Paid[[#This Row],[Date Paid]],TableCurrencyRate[#All],2,FALSE))</f>
        <v>#N/A</v>
      </c>
    </row>
    <row r="328" spans="2:9" x14ac:dyDescent="0.2">
      <c r="B328" s="12">
        <v>43787</v>
      </c>
      <c r="C328" s="13">
        <v>43767</v>
      </c>
      <c r="D328" s="14"/>
      <c r="E328" s="14"/>
      <c r="F328" s="15" t="s">
        <v>369</v>
      </c>
      <c r="G328" s="58">
        <f>156000-13800</f>
        <v>142200</v>
      </c>
      <c r="H328" s="16" t="s">
        <v>5</v>
      </c>
      <c r="I328" s="19" t="e">
        <f>IF(Paid[[#This Row],[Currency]]="USD",Paid[[#This Row],[Montant]],Paid[[#This Row],[Montant]]/VLOOKUP(Paid[[#This Row],[Date Paid]],TableCurrencyRate[#All],2,FALSE))</f>
        <v>#N/A</v>
      </c>
    </row>
    <row r="329" spans="2:9" x14ac:dyDescent="0.2">
      <c r="B329" s="12">
        <v>43787</v>
      </c>
      <c r="C329" s="9">
        <v>43787</v>
      </c>
      <c r="D329" s="10"/>
      <c r="E329" s="10" t="s">
        <v>263</v>
      </c>
      <c r="F329" s="11" t="s">
        <v>368</v>
      </c>
      <c r="G329" s="18">
        <f>89000-31700</f>
        <v>57300</v>
      </c>
      <c r="H329" s="18" t="s">
        <v>5</v>
      </c>
      <c r="I329" s="19" t="e">
        <f>IF(Paid[[#This Row],[Currency]]="USD",Paid[[#This Row],[Montant]],Paid[[#This Row],[Montant]]/VLOOKUP(Paid[[#This Row],[Date Paid]],TableCurrencyRate[#All],2,FALSE))</f>
        <v>#N/A</v>
      </c>
    </row>
    <row r="330" spans="2:9" x14ac:dyDescent="0.2">
      <c r="B330" s="12">
        <v>43787</v>
      </c>
      <c r="C330" s="13">
        <v>43787</v>
      </c>
      <c r="D330" s="14"/>
      <c r="E330" s="14" t="s">
        <v>366</v>
      </c>
      <c r="F330" s="15" t="s">
        <v>367</v>
      </c>
      <c r="G330" s="58">
        <f>31500-7450</f>
        <v>24050</v>
      </c>
      <c r="H330" s="16" t="s">
        <v>5</v>
      </c>
      <c r="I330" s="19" t="e">
        <f>IF(Paid[[#This Row],[Currency]]="USD",Paid[[#This Row],[Montant]],Paid[[#This Row],[Montant]]/VLOOKUP(Paid[[#This Row],[Date Paid]],TableCurrencyRate[#All],2,FALSE))</f>
        <v>#N/A</v>
      </c>
    </row>
    <row r="331" spans="2:9" x14ac:dyDescent="0.2">
      <c r="B331" s="12">
        <v>43787</v>
      </c>
      <c r="C331" s="13">
        <v>43755</v>
      </c>
      <c r="D331" s="14"/>
      <c r="E331" s="14"/>
      <c r="F331" s="15" t="s">
        <v>370</v>
      </c>
      <c r="G331" s="21">
        <f>60000-2500</f>
        <v>57500</v>
      </c>
      <c r="H331" s="16" t="s">
        <v>5</v>
      </c>
      <c r="I331" s="19" t="e">
        <f>IF(Paid[[#This Row],[Currency]]="USD",Paid[[#This Row],[Montant]],Paid[[#This Row],[Montant]]/VLOOKUP(Paid[[#This Row],[Date Paid]],TableCurrencyRate[#All],2,FALSE))</f>
        <v>#N/A</v>
      </c>
    </row>
    <row r="332" spans="2:9" x14ac:dyDescent="0.2">
      <c r="B332" s="12">
        <v>43787</v>
      </c>
      <c r="C332" s="13">
        <v>43784</v>
      </c>
      <c r="D332" s="14"/>
      <c r="E332" s="14" t="s">
        <v>60</v>
      </c>
      <c r="F332" s="15" t="s">
        <v>371</v>
      </c>
      <c r="G332" s="58">
        <f>1001500-84200</f>
        <v>917300</v>
      </c>
      <c r="H332" s="16" t="s">
        <v>5</v>
      </c>
      <c r="I332" s="19" t="e">
        <f>IF(Paid[[#This Row],[Currency]]="USD",Paid[[#This Row],[Montant]],Paid[[#This Row],[Montant]]/VLOOKUP(Paid[[#This Row],[Date Paid]],TableCurrencyRate[#All],2,FALSE))</f>
        <v>#N/A</v>
      </c>
    </row>
    <row r="333" spans="2:9" x14ac:dyDescent="0.2">
      <c r="B333" s="12">
        <v>43787</v>
      </c>
      <c r="C333" s="13">
        <v>43764</v>
      </c>
      <c r="D333" s="14"/>
      <c r="E333" s="14"/>
      <c r="F333" s="15" t="s">
        <v>360</v>
      </c>
      <c r="G333" s="58">
        <v>310800</v>
      </c>
      <c r="H333" s="16" t="s">
        <v>5</v>
      </c>
      <c r="I333" s="19" t="e">
        <f>IF(Paid[[#This Row],[Currency]]="USD",Paid[[#This Row],[Montant]],Paid[[#This Row],[Montant]]/VLOOKUP(Paid[[#This Row],[Date Paid]],TableCurrencyRate[#All],2,FALSE))</f>
        <v>#N/A</v>
      </c>
    </row>
    <row r="334" spans="2:9" x14ac:dyDescent="0.2">
      <c r="B334" s="12">
        <v>43787</v>
      </c>
      <c r="C334" s="13">
        <v>43734</v>
      </c>
      <c r="D334" s="14"/>
      <c r="E334" s="14"/>
      <c r="F334" s="15" t="s">
        <v>207</v>
      </c>
      <c r="G334" s="58">
        <v>1128600</v>
      </c>
      <c r="H334" s="16" t="s">
        <v>5</v>
      </c>
      <c r="I334" s="19" t="e">
        <f>IF(Paid[[#This Row],[Currency]]="USD",Paid[[#This Row],[Montant]],Paid[[#This Row],[Montant]]/VLOOKUP(Paid[[#This Row],[Date Paid]],TableCurrencyRate[#All],2,FALSE))</f>
        <v>#N/A</v>
      </c>
    </row>
    <row r="335" spans="2:9" x14ac:dyDescent="0.2">
      <c r="B335" s="12">
        <v>43787</v>
      </c>
      <c r="C335" s="13">
        <v>43734</v>
      </c>
      <c r="D335" s="14"/>
      <c r="E335" s="14"/>
      <c r="F335" s="15" t="s">
        <v>409</v>
      </c>
      <c r="G335" s="58">
        <v>26840</v>
      </c>
      <c r="H335" s="16" t="s">
        <v>5</v>
      </c>
      <c r="I335" s="19" t="e">
        <f>IF(Paid[[#This Row],[Currency]]="USD",Paid[[#This Row],[Montant]],Paid[[#This Row],[Montant]]/VLOOKUP(Paid[[#This Row],[Date Paid]],TableCurrencyRate[#All],2,FALSE))</f>
        <v>#N/A</v>
      </c>
    </row>
    <row r="336" spans="2:9" x14ac:dyDescent="0.2">
      <c r="B336" s="12">
        <v>43787</v>
      </c>
      <c r="C336" s="13">
        <v>43769</v>
      </c>
      <c r="D336" s="14" t="s">
        <v>46</v>
      </c>
      <c r="E336" s="14"/>
      <c r="F336" s="15" t="s">
        <v>359</v>
      </c>
      <c r="G336" s="58">
        <v>16800</v>
      </c>
      <c r="H336" s="16" t="s">
        <v>5</v>
      </c>
      <c r="I336" s="19" t="e">
        <f>IF(Paid[[#This Row],[Currency]]="USD",Paid[[#This Row],[Montant]],Paid[[#This Row],[Montant]]/VLOOKUP(Paid[[#This Row],[Date Paid]],TableCurrencyRate[#All],2,FALSE))</f>
        <v>#N/A</v>
      </c>
    </row>
    <row r="337" spans="2:9" x14ac:dyDescent="0.2">
      <c r="B337" s="12">
        <v>43787</v>
      </c>
      <c r="C337" s="13">
        <v>43769</v>
      </c>
      <c r="D337" s="14" t="s">
        <v>46</v>
      </c>
      <c r="E337" s="14"/>
      <c r="F337" s="15" t="s">
        <v>344</v>
      </c>
      <c r="G337" s="58">
        <v>11500</v>
      </c>
      <c r="H337" s="16" t="s">
        <v>5</v>
      </c>
      <c r="I337" s="19" t="e">
        <f>IF(Paid[[#This Row],[Currency]]="USD",Paid[[#This Row],[Montant]],Paid[[#This Row],[Montant]]/VLOOKUP(Paid[[#This Row],[Date Paid]],TableCurrencyRate[#All],2,FALSE))</f>
        <v>#N/A</v>
      </c>
    </row>
    <row r="338" spans="2:9" x14ac:dyDescent="0.2">
      <c r="B338" s="12">
        <v>43787</v>
      </c>
      <c r="C338" s="13">
        <v>43635</v>
      </c>
      <c r="D338" s="14" t="s">
        <v>46</v>
      </c>
      <c r="E338" s="14" t="s">
        <v>226</v>
      </c>
      <c r="F338" s="15" t="s">
        <v>206</v>
      </c>
      <c r="G338" s="37">
        <v>629000</v>
      </c>
      <c r="H338" s="16" t="s">
        <v>5</v>
      </c>
      <c r="I338" s="19" t="e">
        <f>IF(Paid[[#This Row],[Currency]]="USD",Paid[[#This Row],[Montant]],Paid[[#This Row],[Montant]]/VLOOKUP(Paid[[#This Row],[Date Paid]],TableCurrencyRate[#All],2,FALSE))</f>
        <v>#N/A</v>
      </c>
    </row>
    <row r="339" spans="2:9" x14ac:dyDescent="0.2">
      <c r="B339" s="12">
        <v>43787</v>
      </c>
      <c r="C339" s="13">
        <v>43777</v>
      </c>
      <c r="D339" s="14"/>
      <c r="E339" s="14" t="s">
        <v>194</v>
      </c>
      <c r="F339" s="15" t="s">
        <v>274</v>
      </c>
      <c r="G339" s="21">
        <v>198900</v>
      </c>
      <c r="H339" s="16" t="s">
        <v>5</v>
      </c>
      <c r="I339" s="19" t="e">
        <f>IF(Paid[[#This Row],[Currency]]="USD",Paid[[#This Row],[Montant]],Paid[[#This Row],[Montant]]/VLOOKUP(Paid[[#This Row],[Date Paid]],TableCurrencyRate[#All],2,FALSE))</f>
        <v>#N/A</v>
      </c>
    </row>
    <row r="340" spans="2:9" x14ac:dyDescent="0.2">
      <c r="B340" s="12">
        <v>43787</v>
      </c>
      <c r="C340" s="13">
        <v>43760</v>
      </c>
      <c r="D340" s="14" t="s">
        <v>46</v>
      </c>
      <c r="E340" s="14" t="s">
        <v>226</v>
      </c>
      <c r="F340" s="15" t="s">
        <v>270</v>
      </c>
      <c r="G340" s="21">
        <v>33000</v>
      </c>
      <c r="H340" s="16" t="s">
        <v>5</v>
      </c>
      <c r="I340" s="19" t="e">
        <f>IF(Paid[[#This Row],[Currency]]="USD",Paid[[#This Row],[Montant]],Paid[[#This Row],[Montant]]/VLOOKUP(Paid[[#This Row],[Date Paid]],TableCurrencyRate[#All],2,FALSE))</f>
        <v>#N/A</v>
      </c>
    </row>
    <row r="341" spans="2:9" x14ac:dyDescent="0.2">
      <c r="B341" s="12">
        <v>43787</v>
      </c>
      <c r="C341" s="13">
        <v>43731</v>
      </c>
      <c r="D341" s="14" t="s">
        <v>46</v>
      </c>
      <c r="E341" s="14"/>
      <c r="F341" s="15" t="s">
        <v>227</v>
      </c>
      <c r="G341" s="37">
        <v>1019200</v>
      </c>
      <c r="H341" s="16" t="s">
        <v>5</v>
      </c>
      <c r="I341" s="19" t="e">
        <f>IF(Paid[[#This Row],[Currency]]="USD",Paid[[#This Row],[Montant]],Paid[[#This Row],[Montant]]/VLOOKUP(Paid[[#This Row],[Date Paid]],TableCurrencyRate[#All],2,FALSE))</f>
        <v>#N/A</v>
      </c>
    </row>
    <row r="342" spans="2:9" x14ac:dyDescent="0.2">
      <c r="B342" s="12">
        <v>43787</v>
      </c>
      <c r="C342" s="9">
        <v>43731</v>
      </c>
      <c r="D342" s="10"/>
      <c r="E342" s="10"/>
      <c r="F342" s="11" t="s">
        <v>410</v>
      </c>
      <c r="G342" s="18">
        <v>360000</v>
      </c>
      <c r="H342" s="18" t="s">
        <v>5</v>
      </c>
      <c r="I342" s="19" t="e">
        <f>IF(Paid[[#This Row],[Currency]]="USD",Paid[[#This Row],[Montant]],Paid[[#This Row],[Montant]]/VLOOKUP(Paid[[#This Row],[Date Paid]],TableCurrencyRate[#All],2,FALSE))</f>
        <v>#N/A</v>
      </c>
    </row>
    <row r="343" spans="2:9" x14ac:dyDescent="0.2">
      <c r="B343" s="12">
        <v>43787</v>
      </c>
      <c r="C343" s="9">
        <v>43760</v>
      </c>
      <c r="D343" s="10" t="s">
        <v>46</v>
      </c>
      <c r="E343" s="10" t="s">
        <v>226</v>
      </c>
      <c r="F343" s="11" t="s">
        <v>267</v>
      </c>
      <c r="G343" s="18">
        <v>377200</v>
      </c>
      <c r="H343" s="18" t="s">
        <v>5</v>
      </c>
      <c r="I343" s="19" t="e">
        <f>IF(Paid[[#This Row],[Currency]]="USD",Paid[[#This Row],[Montant]],Paid[[#This Row],[Montant]]/VLOOKUP(Paid[[#This Row],[Date Paid]],TableCurrencyRate[#All],2,FALSE))</f>
        <v>#N/A</v>
      </c>
    </row>
    <row r="344" spans="2:9" x14ac:dyDescent="0.2">
      <c r="B344" s="57">
        <v>43791</v>
      </c>
      <c r="C344" s="55">
        <v>43770</v>
      </c>
      <c r="D344" s="16" t="s">
        <v>256</v>
      </c>
      <c r="E344" s="16"/>
      <c r="F344" s="56" t="s">
        <v>327</v>
      </c>
      <c r="G344" s="21">
        <v>2200</v>
      </c>
      <c r="H344" s="16" t="s">
        <v>6</v>
      </c>
      <c r="I344" s="19">
        <f>IF(Paid[[#This Row],[Currency]]="USD",Paid[[#This Row],[Montant]],Paid[[#This Row],[Montant]]/VLOOKUP(Paid[[#This Row],[Date Paid]],TableCurrencyRate[#All],2,FALSE))</f>
        <v>2200</v>
      </c>
    </row>
    <row r="345" spans="2:9" x14ac:dyDescent="0.2">
      <c r="B345" s="57">
        <v>43791</v>
      </c>
      <c r="C345" s="55">
        <v>43770</v>
      </c>
      <c r="D345" s="16" t="s">
        <v>289</v>
      </c>
      <c r="E345" s="16"/>
      <c r="F345" s="56" t="s">
        <v>328</v>
      </c>
      <c r="G345" s="21">
        <v>3418.65</v>
      </c>
      <c r="H345" s="16" t="s">
        <v>6</v>
      </c>
      <c r="I345" s="19">
        <f>IF(Paid[[#This Row],[Currency]]="USD",Paid[[#This Row],[Montant]],Paid[[#This Row],[Montant]]/VLOOKUP(Paid[[#This Row],[Date Paid]],TableCurrencyRate[#All],2,FALSE))</f>
        <v>3418.65</v>
      </c>
    </row>
    <row r="346" spans="2:9" x14ac:dyDescent="0.2">
      <c r="B346" s="12">
        <v>43794</v>
      </c>
      <c r="C346" s="13">
        <v>43794</v>
      </c>
      <c r="D346" s="14"/>
      <c r="E346" s="14" t="s">
        <v>411</v>
      </c>
      <c r="F346" s="15" t="s">
        <v>412</v>
      </c>
      <c r="G346" s="58">
        <v>66800</v>
      </c>
      <c r="H346" s="16" t="s">
        <v>5</v>
      </c>
      <c r="I346" s="19" t="e">
        <f>IF(Paid[[#This Row],[Currency]]="USD",Paid[[#This Row],[Montant]],Paid[[#This Row],[Montant]]/VLOOKUP(Paid[[#This Row],[Date Paid]],TableCurrencyRate[#All],2,FALSE))</f>
        <v>#N/A</v>
      </c>
    </row>
    <row r="347" spans="2:9" x14ac:dyDescent="0.2">
      <c r="B347" s="12">
        <v>43794</v>
      </c>
      <c r="C347" s="13">
        <v>43794</v>
      </c>
      <c r="D347" s="14"/>
      <c r="E347" s="14" t="s">
        <v>61</v>
      </c>
      <c r="F347" s="15" t="s">
        <v>413</v>
      </c>
      <c r="G347" s="18">
        <v>120000</v>
      </c>
      <c r="H347" s="18" t="s">
        <v>5</v>
      </c>
      <c r="I347" s="19" t="e">
        <f>IF(Paid[[#This Row],[Currency]]="USD",Paid[[#This Row],[Montant]],Paid[[#This Row],[Montant]]/VLOOKUP(Paid[[#This Row],[Date Paid]],TableCurrencyRate[#All],2,FALSE))</f>
        <v>#N/A</v>
      </c>
    </row>
    <row r="348" spans="2:9" x14ac:dyDescent="0.2">
      <c r="B348" s="12">
        <v>43794</v>
      </c>
      <c r="C348" s="13">
        <v>43794</v>
      </c>
      <c r="D348" s="10"/>
      <c r="E348" s="10"/>
      <c r="F348" s="11" t="s">
        <v>414</v>
      </c>
      <c r="G348" s="18">
        <v>112400</v>
      </c>
      <c r="H348" s="18" t="s">
        <v>5</v>
      </c>
      <c r="I348" s="19" t="e">
        <f>IF(Paid[[#This Row],[Currency]]="USD",Paid[[#This Row],[Montant]],Paid[[#This Row],[Montant]]/VLOOKUP(Paid[[#This Row],[Date Paid]],TableCurrencyRate[#All],2,FALSE))</f>
        <v>#N/A</v>
      </c>
    </row>
    <row r="349" spans="2:9" x14ac:dyDescent="0.2">
      <c r="B349" s="12">
        <v>43794</v>
      </c>
      <c r="C349" s="13">
        <v>43794</v>
      </c>
      <c r="D349" s="14"/>
      <c r="E349" s="14"/>
      <c r="F349" s="15" t="s">
        <v>390</v>
      </c>
      <c r="G349" s="21">
        <v>280000</v>
      </c>
      <c r="H349" s="16" t="s">
        <v>5</v>
      </c>
      <c r="I349" s="19" t="e">
        <f>IF(Paid[[#This Row],[Currency]]="USD",Paid[[#This Row],[Montant]],Paid[[#This Row],[Montant]]/VLOOKUP(Paid[[#This Row],[Date Paid]],TableCurrencyRate[#All],2,FALSE))</f>
        <v>#N/A</v>
      </c>
    </row>
    <row r="350" spans="2:9" x14ac:dyDescent="0.2">
      <c r="B350" s="12">
        <v>43794</v>
      </c>
      <c r="C350" s="13">
        <v>43794</v>
      </c>
      <c r="D350" s="14"/>
      <c r="E350" s="14" t="s">
        <v>355</v>
      </c>
      <c r="F350" s="15" t="s">
        <v>391</v>
      </c>
      <c r="G350" s="21">
        <v>175000</v>
      </c>
      <c r="H350" s="16" t="s">
        <v>5</v>
      </c>
      <c r="I350" s="19" t="e">
        <f>IF(Paid[[#This Row],[Currency]]="USD",Paid[[#This Row],[Montant]],Paid[[#This Row],[Montant]]/VLOOKUP(Paid[[#This Row],[Date Paid]],TableCurrencyRate[#All],2,FALSE))</f>
        <v>#N/A</v>
      </c>
    </row>
    <row r="351" spans="2:9" x14ac:dyDescent="0.2">
      <c r="B351" s="12">
        <v>43794</v>
      </c>
      <c r="C351" s="9">
        <v>43794</v>
      </c>
      <c r="D351" s="10"/>
      <c r="E351" s="10"/>
      <c r="F351" s="11" t="s">
        <v>389</v>
      </c>
      <c r="G351" s="18">
        <f>2358000-2500</f>
        <v>2355500</v>
      </c>
      <c r="H351" s="18" t="s">
        <v>5</v>
      </c>
      <c r="I351" s="19" t="e">
        <f>IF(Paid[[#This Row],[Currency]]="USD",Paid[[#This Row],[Montant]],Paid[[#This Row],[Montant]]/VLOOKUP(Paid[[#This Row],[Date Paid]],TableCurrencyRate[#All],2,FALSE))</f>
        <v>#N/A</v>
      </c>
    </row>
    <row r="352" spans="2:9" x14ac:dyDescent="0.2">
      <c r="B352" s="12">
        <v>43794</v>
      </c>
      <c r="C352" s="13">
        <v>43794</v>
      </c>
      <c r="D352" s="14"/>
      <c r="E352" s="14"/>
      <c r="F352" s="15" t="s">
        <v>388</v>
      </c>
      <c r="G352" s="21">
        <f>18000-7250</f>
        <v>10750</v>
      </c>
      <c r="H352" s="16" t="s">
        <v>5</v>
      </c>
      <c r="I352" s="19" t="e">
        <f>IF(Paid[[#This Row],[Currency]]="USD",Paid[[#This Row],[Montant]],Paid[[#This Row],[Montant]]/VLOOKUP(Paid[[#This Row],[Date Paid]],TableCurrencyRate[#All],2,FALSE))</f>
        <v>#N/A</v>
      </c>
    </row>
    <row r="353" spans="2:9" x14ac:dyDescent="0.2">
      <c r="B353" s="12">
        <v>43794</v>
      </c>
      <c r="C353" s="13">
        <v>43791</v>
      </c>
      <c r="D353" s="14"/>
      <c r="E353" s="14"/>
      <c r="F353" s="15" t="s">
        <v>393</v>
      </c>
      <c r="G353" s="21">
        <f>79600-30300</f>
        <v>49300</v>
      </c>
      <c r="H353" s="16" t="s">
        <v>5</v>
      </c>
      <c r="I353" s="19" t="e">
        <f>IF(Paid[[#This Row],[Currency]]="USD",Paid[[#This Row],[Montant]],Paid[[#This Row],[Montant]]/VLOOKUP(Paid[[#This Row],[Date Paid]],TableCurrencyRate[#All],2,FALSE))</f>
        <v>#N/A</v>
      </c>
    </row>
    <row r="354" spans="2:9" x14ac:dyDescent="0.2">
      <c r="B354" s="12">
        <v>43794</v>
      </c>
      <c r="C354" s="13">
        <v>43794</v>
      </c>
      <c r="D354" s="14"/>
      <c r="E354" s="14"/>
      <c r="F354" s="15" t="s">
        <v>387</v>
      </c>
      <c r="G354" s="21">
        <f>522259</f>
        <v>522259</v>
      </c>
      <c r="H354" s="16" t="s">
        <v>5</v>
      </c>
      <c r="I354" s="19" t="e">
        <f>IF(Paid[[#This Row],[Currency]]="USD",Paid[[#This Row],[Montant]],Paid[[#This Row],[Montant]]/VLOOKUP(Paid[[#This Row],[Date Paid]],TableCurrencyRate[#All],2,FALSE))</f>
        <v>#N/A</v>
      </c>
    </row>
    <row r="355" spans="2:9" x14ac:dyDescent="0.2">
      <c r="B355" s="12">
        <v>43794</v>
      </c>
      <c r="C355" s="13">
        <v>43788</v>
      </c>
      <c r="D355" s="14"/>
      <c r="E355" s="14"/>
      <c r="F355" s="15" t="s">
        <v>392</v>
      </c>
      <c r="G355" s="21">
        <f>495000+91100</f>
        <v>586100</v>
      </c>
      <c r="H355" s="16" t="s">
        <v>5</v>
      </c>
      <c r="I355" s="19" t="e">
        <f>IF(Paid[[#This Row],[Currency]]="USD",Paid[[#This Row],[Montant]],Paid[[#This Row],[Montant]]/VLOOKUP(Paid[[#This Row],[Date Paid]],TableCurrencyRate[#All],2,FALSE))</f>
        <v>#N/A</v>
      </c>
    </row>
    <row r="356" spans="2:9" x14ac:dyDescent="0.2">
      <c r="B356" s="12">
        <v>43794</v>
      </c>
      <c r="C356" s="9">
        <v>43794</v>
      </c>
      <c r="D356" s="10"/>
      <c r="E356" s="14" t="s">
        <v>355</v>
      </c>
      <c r="F356" s="11" t="s">
        <v>415</v>
      </c>
      <c r="G356" s="18">
        <v>100</v>
      </c>
      <c r="H356" s="18" t="s">
        <v>6</v>
      </c>
      <c r="I356" s="19">
        <f>IF(Paid[[#This Row],[Currency]]="USD",Paid[[#This Row],[Montant]],Paid[[#This Row],[Montant]]/VLOOKUP(Paid[[#This Row],[Date Paid]],TableCurrencyRate[#All],2,FALSE))</f>
        <v>100</v>
      </c>
    </row>
    <row r="357" spans="2:9" x14ac:dyDescent="0.2">
      <c r="B357" s="12">
        <v>43794</v>
      </c>
      <c r="C357" s="9">
        <v>43794</v>
      </c>
      <c r="D357" s="10"/>
      <c r="E357" s="14" t="s">
        <v>355</v>
      </c>
      <c r="F357" s="11" t="s">
        <v>416</v>
      </c>
      <c r="G357" s="18">
        <v>1042</v>
      </c>
      <c r="H357" s="18" t="s">
        <v>6</v>
      </c>
      <c r="I357" s="19">
        <f>IF(Paid[[#This Row],[Currency]]="USD",Paid[[#This Row],[Montant]],Paid[[#This Row],[Montant]]/VLOOKUP(Paid[[#This Row],[Date Paid]],TableCurrencyRate[#All],2,FALSE))</f>
        <v>1042</v>
      </c>
    </row>
    <row r="358" spans="2:9" x14ac:dyDescent="0.2">
      <c r="B358" s="12">
        <v>43798</v>
      </c>
      <c r="C358" s="13">
        <v>43794</v>
      </c>
      <c r="D358" s="14"/>
      <c r="E358" s="14" t="s">
        <v>355</v>
      </c>
      <c r="F358" s="15" t="s">
        <v>417</v>
      </c>
      <c r="G358" s="21">
        <v>742250</v>
      </c>
      <c r="H358" s="16" t="s">
        <v>5</v>
      </c>
      <c r="I358" s="19" t="e">
        <f>IF(Paid[[#This Row],[Currency]]="USD",Paid[[#This Row],[Montant]],Paid[[#This Row],[Montant]]/VLOOKUP(Paid[[#This Row],[Date Paid]],TableCurrencyRate[#All],2,FALSE))</f>
        <v>#N/A</v>
      </c>
    </row>
    <row r="359" spans="2:9" x14ac:dyDescent="0.2">
      <c r="B359" s="12">
        <v>43798</v>
      </c>
      <c r="C359" s="13">
        <v>43795</v>
      </c>
      <c r="D359" s="14"/>
      <c r="E359" s="14"/>
      <c r="F359" s="15" t="s">
        <v>399</v>
      </c>
      <c r="G359" s="21">
        <v>2522800</v>
      </c>
      <c r="H359" s="16" t="s">
        <v>5</v>
      </c>
      <c r="I359" s="19" t="e">
        <f>IF(Paid[[#This Row],[Currency]]="USD",Paid[[#This Row],[Montant]],Paid[[#This Row],[Montant]]/VLOOKUP(Paid[[#This Row],[Date Paid]],TableCurrencyRate[#All],2,FALSE))</f>
        <v>#N/A</v>
      </c>
    </row>
    <row r="360" spans="2:9" x14ac:dyDescent="0.2">
      <c r="B360" s="12">
        <v>43798</v>
      </c>
      <c r="C360" s="9">
        <v>43791</v>
      </c>
      <c r="D360" s="10"/>
      <c r="E360" s="10"/>
      <c r="F360" s="11" t="s">
        <v>396</v>
      </c>
      <c r="G360" s="18">
        <f>545000+78100</f>
        <v>623100</v>
      </c>
      <c r="H360" s="18" t="s">
        <v>5</v>
      </c>
      <c r="I360" s="19" t="e">
        <f>IF(Paid[[#This Row],[Currency]]="USD",Paid[[#This Row],[Montant]],Paid[[#This Row],[Montant]]/VLOOKUP(Paid[[#This Row],[Date Paid]],TableCurrencyRate[#All],2,FALSE))</f>
        <v>#N/A</v>
      </c>
    </row>
    <row r="361" spans="2:9" x14ac:dyDescent="0.2">
      <c r="B361" s="12">
        <v>43798</v>
      </c>
      <c r="C361" s="9">
        <v>43798</v>
      </c>
      <c r="D361" s="10"/>
      <c r="E361" s="10"/>
      <c r="F361" s="11" t="s">
        <v>395</v>
      </c>
      <c r="G361" s="18">
        <v>181200</v>
      </c>
      <c r="H361" s="18" t="s">
        <v>5</v>
      </c>
      <c r="I361" s="19" t="e">
        <f>IF(Paid[[#This Row],[Currency]]="USD",Paid[[#This Row],[Montant]],Paid[[#This Row],[Montant]]/VLOOKUP(Paid[[#This Row],[Date Paid]],TableCurrencyRate[#All],2,FALSE))</f>
        <v>#N/A</v>
      </c>
    </row>
    <row r="362" spans="2:9" x14ac:dyDescent="0.2">
      <c r="B362" s="12">
        <v>43798</v>
      </c>
      <c r="C362" s="9">
        <v>43798</v>
      </c>
      <c r="D362" s="10" t="s">
        <v>46</v>
      </c>
      <c r="E362" s="10"/>
      <c r="F362" s="11" t="s">
        <v>394</v>
      </c>
      <c r="G362" s="18">
        <v>195300</v>
      </c>
      <c r="H362" s="18" t="s">
        <v>5</v>
      </c>
      <c r="I362" s="19" t="e">
        <f>IF(Paid[[#This Row],[Currency]]="USD",Paid[[#This Row],[Montant]],Paid[[#This Row],[Montant]]/VLOOKUP(Paid[[#This Row],[Date Paid]],TableCurrencyRate[#All],2,FALSE))</f>
        <v>#N/A</v>
      </c>
    </row>
    <row r="363" spans="2:9" x14ac:dyDescent="0.2">
      <c r="B363" s="12">
        <v>43798</v>
      </c>
      <c r="C363" s="9">
        <v>43787</v>
      </c>
      <c r="D363" s="10"/>
      <c r="E363" s="10"/>
      <c r="F363" s="11" t="s">
        <v>400</v>
      </c>
      <c r="G363" s="18">
        <v>50700</v>
      </c>
      <c r="H363" s="18" t="s">
        <v>5</v>
      </c>
      <c r="I363" s="19" t="e">
        <f>IF(Paid[[#This Row],[Currency]]="USD",Paid[[#This Row],[Montant]],Paid[[#This Row],[Montant]]/VLOOKUP(Paid[[#This Row],[Date Paid]],TableCurrencyRate[#All],2,FALSE))</f>
        <v>#N/A</v>
      </c>
    </row>
    <row r="364" spans="2:9" x14ac:dyDescent="0.2">
      <c r="B364" s="12">
        <v>43799</v>
      </c>
      <c r="C364" s="9">
        <v>43799</v>
      </c>
      <c r="D364" s="10"/>
      <c r="E364" s="10"/>
      <c r="F364" s="11" t="s">
        <v>418</v>
      </c>
      <c r="G364" s="18">
        <f>162600-16000</f>
        <v>146600</v>
      </c>
      <c r="H364" s="18" t="s">
        <v>5</v>
      </c>
      <c r="I364" s="19" t="e">
        <f>IF(Paid[[#This Row],[Currency]]="USD",Paid[[#This Row],[Montant]],Paid[[#This Row],[Montant]]/VLOOKUP(Paid[[#This Row],[Date Paid]],TableCurrencyRate[#All],2,FALSE))</f>
        <v>#N/A</v>
      </c>
    </row>
    <row r="365" spans="2:9" x14ac:dyDescent="0.2">
      <c r="B365" s="70">
        <v>43802</v>
      </c>
      <c r="C365" s="66">
        <v>43802</v>
      </c>
      <c r="D365" s="67"/>
      <c r="E365" s="67"/>
      <c r="F365" s="11" t="s">
        <v>429</v>
      </c>
      <c r="G365" s="68">
        <f>66100+11700</f>
        <v>77800</v>
      </c>
      <c r="H365" s="18" t="s">
        <v>5</v>
      </c>
      <c r="I365" s="69" t="e">
        <f>IF(Paid[[#This Row],[Currency]]="USD",Paid[[#This Row],[Montant]],Paid[[#This Row],[Montant]]/VLOOKUP(Paid[[#This Row],[Date Paid]],TableCurrencyRate[#All],2,FALSE))</f>
        <v>#N/A</v>
      </c>
    </row>
    <row r="366" spans="2:9" x14ac:dyDescent="0.2">
      <c r="B366" s="70">
        <v>43802</v>
      </c>
      <c r="C366" s="66">
        <v>43802</v>
      </c>
      <c r="D366" s="67"/>
      <c r="E366" s="67"/>
      <c r="F366" s="11" t="s">
        <v>430</v>
      </c>
      <c r="G366" s="68">
        <v>40000</v>
      </c>
      <c r="H366" s="18" t="s">
        <v>5</v>
      </c>
      <c r="I366" s="69" t="e">
        <f>IF(Paid[[#This Row],[Currency]]="USD",Paid[[#This Row],[Montant]],Paid[[#This Row],[Montant]]/VLOOKUP(Paid[[#This Row],[Date Paid]],TableCurrencyRate[#All],2,FALSE))</f>
        <v>#N/A</v>
      </c>
    </row>
    <row r="367" spans="2:9" x14ac:dyDescent="0.2">
      <c r="B367" s="70">
        <v>43802</v>
      </c>
      <c r="C367" s="13">
        <v>43669</v>
      </c>
      <c r="D367" s="14" t="s">
        <v>46</v>
      </c>
      <c r="E367" s="14"/>
      <c r="F367" s="15" t="s">
        <v>62</v>
      </c>
      <c r="G367" s="21">
        <v>242050</v>
      </c>
      <c r="H367" s="16" t="s">
        <v>5</v>
      </c>
      <c r="I367" s="69" t="e">
        <f>IF(Paid[[#This Row],[Currency]]="USD",Paid[[#This Row],[Montant]],Paid[[#This Row],[Montant]]/VLOOKUP(Paid[[#This Row],[Date Paid]],TableCurrencyRate[#All],2,FALSE))</f>
        <v>#N/A</v>
      </c>
    </row>
    <row r="368" spans="2:9" x14ac:dyDescent="0.2">
      <c r="B368" s="70">
        <v>43803</v>
      </c>
      <c r="C368" s="13">
        <v>43803</v>
      </c>
      <c r="D368" s="14"/>
      <c r="E368" s="14"/>
      <c r="F368" s="15" t="s">
        <v>419</v>
      </c>
      <c r="G368" s="21">
        <v>20360344</v>
      </c>
      <c r="H368" s="16" t="s">
        <v>5</v>
      </c>
      <c r="I368" s="69" t="e">
        <f>IF(Paid[[#This Row],[Currency]]="USD",Paid[[#This Row],[Montant]],Paid[[#This Row],[Montant]]/VLOOKUP(Paid[[#This Row],[Date Paid]],TableCurrencyRate[#All],2,FALSE))</f>
        <v>#N/A</v>
      </c>
    </row>
    <row r="369" spans="2:9" x14ac:dyDescent="0.2">
      <c r="B369" s="70">
        <v>43805</v>
      </c>
      <c r="C369" s="66">
        <v>43803</v>
      </c>
      <c r="D369" s="67"/>
      <c r="E369" s="67"/>
      <c r="F369" s="11" t="s">
        <v>431</v>
      </c>
      <c r="G369" s="68">
        <v>3280000</v>
      </c>
      <c r="H369" s="68" t="s">
        <v>5</v>
      </c>
      <c r="I369" s="69" t="e">
        <f>IF(Paid[[#This Row],[Currency]]="USD",Paid[[#This Row],[Montant]],Paid[[#This Row],[Montant]]/VLOOKUP(Paid[[#This Row],[Date Paid]],TableCurrencyRate[#All],2,FALSE))</f>
        <v>#N/A</v>
      </c>
    </row>
    <row r="370" spans="2:9" x14ac:dyDescent="0.2">
      <c r="B370" s="70">
        <v>43805</v>
      </c>
      <c r="C370" s="66">
        <v>43805</v>
      </c>
      <c r="D370" s="67"/>
      <c r="E370" s="10" t="s">
        <v>366</v>
      </c>
      <c r="F370" s="11" t="s">
        <v>388</v>
      </c>
      <c r="G370" s="68">
        <v>107000</v>
      </c>
      <c r="H370" s="18" t="s">
        <v>5</v>
      </c>
      <c r="I370" s="69" t="e">
        <f>IF(Paid[[#This Row],[Currency]]="USD",Paid[[#This Row],[Montant]],Paid[[#This Row],[Montant]]/VLOOKUP(Paid[[#This Row],[Date Paid]],TableCurrencyRate[#All],2,FALSE))</f>
        <v>#N/A</v>
      </c>
    </row>
    <row r="371" spans="2:9" x14ac:dyDescent="0.2">
      <c r="B371" s="70">
        <v>43805</v>
      </c>
      <c r="C371" s="13">
        <v>43801</v>
      </c>
      <c r="D371" s="14"/>
      <c r="E371" s="14"/>
      <c r="F371" s="15" t="s">
        <v>423</v>
      </c>
      <c r="G371" s="21">
        <f>35000-1000</f>
        <v>34000</v>
      </c>
      <c r="H371" s="16" t="s">
        <v>5</v>
      </c>
      <c r="I371" s="69" t="e">
        <f>IF(Paid[[#This Row],[Currency]]="USD",Paid[[#This Row],[Montant]],Paid[[#This Row],[Montant]]/VLOOKUP(Paid[[#This Row],[Date Paid]],TableCurrencyRate[#All],2,FALSE))</f>
        <v>#N/A</v>
      </c>
    </row>
    <row r="372" spans="2:9" x14ac:dyDescent="0.2">
      <c r="B372" s="70">
        <v>43808</v>
      </c>
      <c r="C372" s="13">
        <v>43801</v>
      </c>
      <c r="D372" s="14"/>
      <c r="E372" s="14"/>
      <c r="F372" s="15" t="s">
        <v>424</v>
      </c>
      <c r="G372" s="21">
        <f>545000+22000</f>
        <v>567000</v>
      </c>
      <c r="H372" s="16" t="s">
        <v>5</v>
      </c>
      <c r="I372" s="69" t="e">
        <f>IF(Paid[[#This Row],[Currency]]="USD",Paid[[#This Row],[Montant]],Paid[[#This Row],[Montant]]/VLOOKUP(Paid[[#This Row],[Date Paid]],TableCurrencyRate[#All],2,FALSE))</f>
        <v>#N/A</v>
      </c>
    </row>
    <row r="373" spans="2:9" x14ac:dyDescent="0.2">
      <c r="B373" s="70">
        <v>43808</v>
      </c>
      <c r="C373" s="66">
        <v>43808</v>
      </c>
      <c r="D373" s="67"/>
      <c r="E373" s="67"/>
      <c r="F373" s="11" t="s">
        <v>433</v>
      </c>
      <c r="G373" s="68">
        <v>63200</v>
      </c>
      <c r="H373" s="18" t="s">
        <v>5</v>
      </c>
      <c r="I373" s="69" t="e">
        <f>IF(Paid[[#This Row],[Currency]]="USD",Paid[[#This Row],[Montant]],Paid[[#This Row],[Montant]]/VLOOKUP(Paid[[#This Row],[Date Paid]],TableCurrencyRate[#All],2,FALSE))</f>
        <v>#N/A</v>
      </c>
    </row>
    <row r="374" spans="2:9" x14ac:dyDescent="0.2">
      <c r="B374" s="70">
        <v>43808</v>
      </c>
      <c r="C374" s="66">
        <v>43808</v>
      </c>
      <c r="D374" s="67"/>
      <c r="E374" s="67"/>
      <c r="F374" s="11" t="s">
        <v>421</v>
      </c>
      <c r="G374" s="68">
        <v>42100</v>
      </c>
      <c r="H374" s="18" t="s">
        <v>5</v>
      </c>
      <c r="I374" s="69" t="e">
        <f>IF(Paid[[#This Row],[Currency]]="USD",Paid[[#This Row],[Montant]],Paid[[#This Row],[Montant]]/VLOOKUP(Paid[[#This Row],[Date Paid]],TableCurrencyRate[#All],2,FALSE))</f>
        <v>#N/A</v>
      </c>
    </row>
    <row r="375" spans="2:9" x14ac:dyDescent="0.2">
      <c r="B375" s="57">
        <v>43809</v>
      </c>
      <c r="C375" s="13">
        <v>43796</v>
      </c>
      <c r="D375" s="14"/>
      <c r="E375" s="14"/>
      <c r="F375" s="15" t="s">
        <v>425</v>
      </c>
      <c r="G375" s="21">
        <v>502400</v>
      </c>
      <c r="H375" s="16" t="s">
        <v>5</v>
      </c>
      <c r="I375" s="19" t="e">
        <f>IF(Paid[[#This Row],[Currency]]="USD",Paid[[#This Row],[Montant]],Paid[[#This Row],[Montant]]/VLOOKUP(Paid[[#This Row],[Date Paid]],TableCurrencyRate[#All],2,FALSE))</f>
        <v>#N/A</v>
      </c>
    </row>
    <row r="376" spans="2:9" x14ac:dyDescent="0.2">
      <c r="B376" s="57">
        <v>43809</v>
      </c>
      <c r="C376" s="13">
        <v>43804</v>
      </c>
      <c r="D376" s="14"/>
      <c r="E376" s="14" t="s">
        <v>366</v>
      </c>
      <c r="F376" s="15" t="s">
        <v>443</v>
      </c>
      <c r="G376" s="21">
        <f>21000+4900</f>
        <v>25900</v>
      </c>
      <c r="H376" s="16" t="s">
        <v>5</v>
      </c>
      <c r="I376" s="19" t="e">
        <f>IF(Paid[[#This Row],[Currency]]="USD",Paid[[#This Row],[Montant]],Paid[[#This Row],[Montant]]/VLOOKUP(Paid[[#This Row],[Date Paid]],TableCurrencyRate[#All],2,FALSE))</f>
        <v>#N/A</v>
      </c>
    </row>
    <row r="377" spans="2:9" x14ac:dyDescent="0.2">
      <c r="B377" s="57">
        <v>43809</v>
      </c>
      <c r="C377" s="13">
        <v>43802</v>
      </c>
      <c r="D377" s="14"/>
      <c r="E377" s="14" t="s">
        <v>366</v>
      </c>
      <c r="F377" s="15" t="s">
        <v>443</v>
      </c>
      <c r="G377" s="21">
        <f>39500+15100</f>
        <v>54600</v>
      </c>
      <c r="H377" s="16" t="s">
        <v>5</v>
      </c>
      <c r="I377" s="19" t="e">
        <f>IF(Paid[[#This Row],[Currency]]="USD",Paid[[#This Row],[Montant]],Paid[[#This Row],[Montant]]/VLOOKUP(Paid[[#This Row],[Date Paid]],TableCurrencyRate[#All],2,FALSE))</f>
        <v>#N/A</v>
      </c>
    </row>
    <row r="378" spans="2:9" x14ac:dyDescent="0.2">
      <c r="B378" s="57">
        <v>43809</v>
      </c>
      <c r="C378" s="13">
        <v>43796</v>
      </c>
      <c r="D378" s="14"/>
      <c r="E378" s="14" t="s">
        <v>333</v>
      </c>
      <c r="F378" s="15" t="s">
        <v>447</v>
      </c>
      <c r="G378" s="21">
        <f>31000-1000</f>
        <v>30000</v>
      </c>
      <c r="H378" s="16" t="s">
        <v>5</v>
      </c>
      <c r="I378" s="19" t="e">
        <f>IF(Paid[[#This Row],[Currency]]="USD",Paid[[#This Row],[Montant]],Paid[[#This Row],[Montant]]/VLOOKUP(Paid[[#This Row],[Date Paid]],TableCurrencyRate[#All],2,FALSE))</f>
        <v>#N/A</v>
      </c>
    </row>
    <row r="379" spans="2:9" x14ac:dyDescent="0.2">
      <c r="B379" s="57">
        <v>43809</v>
      </c>
      <c r="C379" s="13">
        <v>43801</v>
      </c>
      <c r="D379" s="14"/>
      <c r="E379" s="14" t="s">
        <v>432</v>
      </c>
      <c r="F379" s="15" t="s">
        <v>448</v>
      </c>
      <c r="G379" s="21">
        <f>36300-14950</f>
        <v>21350</v>
      </c>
      <c r="H379" s="16" t="s">
        <v>5</v>
      </c>
      <c r="I379" s="19" t="e">
        <f>IF(Paid[[#This Row],[Currency]]="USD",Paid[[#This Row],[Montant]],Paid[[#This Row],[Montant]]/VLOOKUP(Paid[[#This Row],[Date Paid]],TableCurrencyRate[#All],2,FALSE))</f>
        <v>#N/A</v>
      </c>
    </row>
    <row r="380" spans="2:9" x14ac:dyDescent="0.2">
      <c r="B380" s="57">
        <v>43809</v>
      </c>
      <c r="C380" s="9">
        <v>43809</v>
      </c>
      <c r="D380" s="10"/>
      <c r="E380" s="10" t="s">
        <v>233</v>
      </c>
      <c r="F380" s="11" t="s">
        <v>500</v>
      </c>
      <c r="G380" s="18">
        <f>19500+1600</f>
        <v>21100</v>
      </c>
      <c r="H380" s="18" t="s">
        <v>5</v>
      </c>
      <c r="I380" s="19" t="e">
        <f>IF(Paid[[#This Row],[Currency]]="USD",Paid[[#This Row],[Montant]],Paid[[#This Row],[Montant]]/VLOOKUP(Paid[[#This Row],[Date Paid]],TableCurrencyRate[#All],2,FALSE))</f>
        <v>#N/A</v>
      </c>
    </row>
    <row r="381" spans="2:9" x14ac:dyDescent="0.2">
      <c r="B381" s="57">
        <v>43809</v>
      </c>
      <c r="C381" s="13">
        <v>43801</v>
      </c>
      <c r="D381" s="14"/>
      <c r="E381" s="14"/>
      <c r="F381" s="15" t="s">
        <v>422</v>
      </c>
      <c r="G381" s="21">
        <v>106600</v>
      </c>
      <c r="H381" s="16" t="s">
        <v>5</v>
      </c>
      <c r="I381" s="19" t="e">
        <f>IF(Paid[[#This Row],[Currency]]="USD",Paid[[#This Row],[Montant]],Paid[[#This Row],[Montant]]/VLOOKUP(Paid[[#This Row],[Date Paid]],TableCurrencyRate[#All],2,FALSE))</f>
        <v>#N/A</v>
      </c>
    </row>
    <row r="382" spans="2:9" x14ac:dyDescent="0.2">
      <c r="B382" s="57">
        <v>43809</v>
      </c>
      <c r="C382" s="9">
        <v>43809</v>
      </c>
      <c r="D382" s="10"/>
      <c r="E382" s="10" t="s">
        <v>439</v>
      </c>
      <c r="F382" s="11" t="s">
        <v>501</v>
      </c>
      <c r="G382" s="18">
        <f>688000-15770</f>
        <v>672230</v>
      </c>
      <c r="H382" s="18" t="s">
        <v>5</v>
      </c>
      <c r="I382" s="19" t="e">
        <f>IF(Paid[[#This Row],[Currency]]="USD",Paid[[#This Row],[Montant]],Paid[[#This Row],[Montant]]/VLOOKUP(Paid[[#This Row],[Date Paid]],TableCurrencyRate[#All],2,FALSE))</f>
        <v>#N/A</v>
      </c>
    </row>
    <row r="383" spans="2:9" x14ac:dyDescent="0.2">
      <c r="B383" s="57">
        <v>43809</v>
      </c>
      <c r="C383" s="13">
        <v>43788</v>
      </c>
      <c r="D383" s="14"/>
      <c r="E383" s="14"/>
      <c r="F383" s="15" t="s">
        <v>398</v>
      </c>
      <c r="G383" s="21">
        <v>8000</v>
      </c>
      <c r="H383" s="16" t="s">
        <v>5</v>
      </c>
      <c r="I383" s="19" t="e">
        <f>IF(Paid[[#This Row],[Currency]]="USD",Paid[[#This Row],[Montant]],Paid[[#This Row],[Montant]]/VLOOKUP(Paid[[#This Row],[Date Paid]],TableCurrencyRate[#All],2,FALSE))</f>
        <v>#N/A</v>
      </c>
    </row>
    <row r="384" spans="2:9" x14ac:dyDescent="0.2">
      <c r="B384" s="57">
        <v>43809</v>
      </c>
      <c r="C384" s="13">
        <v>43797</v>
      </c>
      <c r="D384" s="14"/>
      <c r="E384" s="14"/>
      <c r="F384" s="15" t="s">
        <v>427</v>
      </c>
      <c r="G384" s="21">
        <v>10200</v>
      </c>
      <c r="H384" s="16" t="s">
        <v>5</v>
      </c>
      <c r="I384" s="19" t="e">
        <f>IF(Paid[[#This Row],[Currency]]="USD",Paid[[#This Row],[Montant]],Paid[[#This Row],[Montant]]/VLOOKUP(Paid[[#This Row],[Date Paid]],TableCurrencyRate[#All],2,FALSE))</f>
        <v>#N/A</v>
      </c>
    </row>
    <row r="385" spans="2:9" x14ac:dyDescent="0.2">
      <c r="B385" s="57">
        <v>43809</v>
      </c>
      <c r="C385" s="13">
        <v>43796</v>
      </c>
      <c r="D385" s="14"/>
      <c r="E385" s="14"/>
      <c r="F385" s="15" t="s">
        <v>405</v>
      </c>
      <c r="G385" s="21">
        <v>3000</v>
      </c>
      <c r="H385" s="16" t="s">
        <v>5</v>
      </c>
      <c r="I385" s="19" t="e">
        <f>IF(Paid[[#This Row],[Currency]]="USD",Paid[[#This Row],[Montant]],Paid[[#This Row],[Montant]]/VLOOKUP(Paid[[#This Row],[Date Paid]],TableCurrencyRate[#All],2,FALSE))</f>
        <v>#N/A</v>
      </c>
    </row>
    <row r="386" spans="2:9" x14ac:dyDescent="0.2">
      <c r="B386" s="57">
        <v>43809</v>
      </c>
      <c r="C386" s="13">
        <v>43809</v>
      </c>
      <c r="D386" s="14"/>
      <c r="E386" s="14" t="s">
        <v>442</v>
      </c>
      <c r="F386" s="15" t="s">
        <v>444</v>
      </c>
      <c r="G386" s="21">
        <f>27250-8200</f>
        <v>19050</v>
      </c>
      <c r="H386" s="16" t="s">
        <v>5</v>
      </c>
      <c r="I386" s="19" t="e">
        <f>IF(Paid[[#This Row],[Currency]]="USD",Paid[[#This Row],[Montant]],Paid[[#This Row],[Montant]]/VLOOKUP(Paid[[#This Row],[Date Paid]],TableCurrencyRate[#All],2,FALSE))</f>
        <v>#N/A</v>
      </c>
    </row>
    <row r="387" spans="2:9" x14ac:dyDescent="0.2">
      <c r="B387" s="57">
        <v>43809</v>
      </c>
      <c r="C387" s="13">
        <v>43809</v>
      </c>
      <c r="D387" s="14"/>
      <c r="E387" s="14" t="s">
        <v>366</v>
      </c>
      <c r="F387" s="15" t="s">
        <v>443</v>
      </c>
      <c r="G387" s="21">
        <v>107000</v>
      </c>
      <c r="H387" s="16" t="s">
        <v>5</v>
      </c>
      <c r="I387" s="19" t="e">
        <f>IF(Paid[[#This Row],[Currency]]="USD",Paid[[#This Row],[Montant]],Paid[[#This Row],[Montant]]/VLOOKUP(Paid[[#This Row],[Date Paid]],TableCurrencyRate[#All],2,FALSE))</f>
        <v>#N/A</v>
      </c>
    </row>
    <row r="388" spans="2:9" x14ac:dyDescent="0.2">
      <c r="B388" s="57">
        <v>43809</v>
      </c>
      <c r="C388" s="13">
        <v>43803</v>
      </c>
      <c r="D388" s="14" t="s">
        <v>446</v>
      </c>
      <c r="E388" s="14"/>
      <c r="F388" s="15" t="s">
        <v>445</v>
      </c>
      <c r="G388" s="21">
        <v>200000</v>
      </c>
      <c r="H388" s="16" t="s">
        <v>5</v>
      </c>
      <c r="I388" s="19" t="e">
        <f>IF(Paid[[#This Row],[Currency]]="USD",Paid[[#This Row],[Montant]],Paid[[#This Row],[Montant]]/VLOOKUP(Paid[[#This Row],[Date Paid]],TableCurrencyRate[#All],2,FALSE))</f>
        <v>#N/A</v>
      </c>
    </row>
    <row r="389" spans="2:9" x14ac:dyDescent="0.2">
      <c r="B389" s="57">
        <v>43809</v>
      </c>
      <c r="C389" s="13">
        <v>43805</v>
      </c>
      <c r="D389" s="14"/>
      <c r="E389" s="14"/>
      <c r="F389" s="15" t="s">
        <v>440</v>
      </c>
      <c r="G389" s="21">
        <v>723500</v>
      </c>
      <c r="H389" s="16" t="s">
        <v>5</v>
      </c>
      <c r="I389" s="19" t="e">
        <f>IF(Paid[[#This Row],[Currency]]="USD",Paid[[#This Row],[Montant]],Paid[[#This Row],[Montant]]/VLOOKUP(Paid[[#This Row],[Date Paid]],TableCurrencyRate[#All],2,FALSE))</f>
        <v>#N/A</v>
      </c>
    </row>
    <row r="390" spans="2:9" x14ac:dyDescent="0.2">
      <c r="B390" s="57">
        <v>43809</v>
      </c>
      <c r="C390" s="13">
        <v>43805</v>
      </c>
      <c r="D390" s="14"/>
      <c r="E390" s="14"/>
      <c r="F390" s="15" t="s">
        <v>441</v>
      </c>
      <c r="G390" s="21">
        <f>510000-37200</f>
        <v>472800</v>
      </c>
      <c r="H390" s="16" t="s">
        <v>5</v>
      </c>
      <c r="I390" s="19" t="e">
        <f>IF(Paid[[#This Row],[Currency]]="USD",Paid[[#This Row],[Montant]],Paid[[#This Row],[Montant]]/VLOOKUP(Paid[[#This Row],[Date Paid]],TableCurrencyRate[#All],2,FALSE))</f>
        <v>#N/A</v>
      </c>
    </row>
    <row r="391" spans="2:9" x14ac:dyDescent="0.2">
      <c r="B391" s="57">
        <v>43809</v>
      </c>
      <c r="C391" s="13">
        <v>43791</v>
      </c>
      <c r="D391" s="14"/>
      <c r="E391" s="14"/>
      <c r="F391" s="15" t="s">
        <v>397</v>
      </c>
      <c r="G391" s="21">
        <v>1750000</v>
      </c>
      <c r="H391" s="16" t="s">
        <v>5</v>
      </c>
      <c r="I391" s="19" t="e">
        <f>IF(Paid[[#This Row],[Currency]]="USD",Paid[[#This Row],[Montant]],Paid[[#This Row],[Montant]]/VLOOKUP(Paid[[#This Row],[Date Paid]],TableCurrencyRate[#All],2,FALSE))</f>
        <v>#N/A</v>
      </c>
    </row>
    <row r="392" spans="2:9" x14ac:dyDescent="0.2">
      <c r="B392" s="57">
        <v>43809</v>
      </c>
      <c r="C392" s="13">
        <v>43794</v>
      </c>
      <c r="D392" s="14"/>
      <c r="E392" s="14"/>
      <c r="F392" s="15" t="s">
        <v>402</v>
      </c>
      <c r="G392" s="21">
        <v>21115</v>
      </c>
      <c r="H392" s="16" t="s">
        <v>5</v>
      </c>
      <c r="I392" s="19" t="e">
        <f>IF(Paid[[#This Row],[Currency]]="USD",Paid[[#This Row],[Montant]],Paid[[#This Row],[Montant]]/VLOOKUP(Paid[[#This Row],[Date Paid]],TableCurrencyRate[#All],2,FALSE))</f>
        <v>#N/A</v>
      </c>
    </row>
    <row r="393" spans="2:9" x14ac:dyDescent="0.2">
      <c r="B393" s="57">
        <v>43809</v>
      </c>
      <c r="C393" s="13">
        <v>43791</v>
      </c>
      <c r="D393" s="14"/>
      <c r="E393" s="14"/>
      <c r="F393" s="15" t="s">
        <v>401</v>
      </c>
      <c r="G393" s="21">
        <v>19960</v>
      </c>
      <c r="H393" s="16" t="s">
        <v>5</v>
      </c>
      <c r="I393" s="19" t="e">
        <f>IF(Paid[[#This Row],[Currency]]="USD",Paid[[#This Row],[Montant]],Paid[[#This Row],[Montant]]/VLOOKUP(Paid[[#This Row],[Date Paid]],TableCurrencyRate[#All],2,FALSE))</f>
        <v>#N/A</v>
      </c>
    </row>
    <row r="394" spans="2:9" x14ac:dyDescent="0.2">
      <c r="B394" s="70">
        <v>43809</v>
      </c>
      <c r="C394" s="66">
        <v>43809</v>
      </c>
      <c r="D394" s="67"/>
      <c r="E394" s="67"/>
      <c r="F394" s="11" t="s">
        <v>436</v>
      </c>
      <c r="G394" s="68">
        <v>1951800</v>
      </c>
      <c r="H394" s="18" t="s">
        <v>5</v>
      </c>
      <c r="I394" s="69" t="e">
        <f>IF(Paid[[#This Row],[Currency]]="USD",Paid[[#This Row],[Montant]],Paid[[#This Row],[Montant]]/VLOOKUP(Paid[[#This Row],[Date Paid]],TableCurrencyRate[#All],2,FALSE))</f>
        <v>#N/A</v>
      </c>
    </row>
    <row r="395" spans="2:9" x14ac:dyDescent="0.2">
      <c r="B395" s="12">
        <v>43809</v>
      </c>
      <c r="C395" s="13">
        <v>43809</v>
      </c>
      <c r="D395" s="14" t="s">
        <v>46</v>
      </c>
      <c r="E395" s="14"/>
      <c r="F395" s="15" t="s">
        <v>437</v>
      </c>
      <c r="G395" s="21">
        <v>114950</v>
      </c>
      <c r="H395" s="16" t="s">
        <v>5</v>
      </c>
      <c r="I395" s="19" t="e">
        <f>IF(Paid[[#This Row],[Currency]]="USD",Paid[[#This Row],[Montant]],Paid[[#This Row],[Montant]]/VLOOKUP(Paid[[#This Row],[Date Paid]],TableCurrencyRate[#All],2,FALSE))</f>
        <v>#N/A</v>
      </c>
    </row>
    <row r="396" spans="2:9" x14ac:dyDescent="0.2">
      <c r="B396" s="70">
        <v>43809</v>
      </c>
      <c r="C396" s="13">
        <v>43794</v>
      </c>
      <c r="D396" s="14"/>
      <c r="E396" s="14"/>
      <c r="F396" s="15" t="s">
        <v>404</v>
      </c>
      <c r="G396" s="21">
        <v>23400</v>
      </c>
      <c r="H396" s="16" t="s">
        <v>5</v>
      </c>
      <c r="I396" s="19" t="e">
        <f>IF(Paid[[#This Row],[Currency]]="USD",Paid[[#This Row],[Montant]],Paid[[#This Row],[Montant]]/VLOOKUP(Paid[[#This Row],[Date Paid]],TableCurrencyRate[#All],2,FALSE))</f>
        <v>#N/A</v>
      </c>
    </row>
    <row r="397" spans="2:9" x14ac:dyDescent="0.2">
      <c r="B397" s="12">
        <v>43809</v>
      </c>
      <c r="C397" s="13">
        <v>43801</v>
      </c>
      <c r="D397" s="14"/>
      <c r="E397" s="14"/>
      <c r="F397" s="15" t="s">
        <v>450</v>
      </c>
      <c r="G397" s="21">
        <v>600000</v>
      </c>
      <c r="H397" s="16" t="s">
        <v>5</v>
      </c>
      <c r="I397" s="19" t="e">
        <f>IF(Paid[[#This Row],[Currency]]="USD",Paid[[#This Row],[Montant]],Paid[[#This Row],[Montant]]/VLOOKUP(Paid[[#This Row],[Date Paid]],TableCurrencyRate[#All],2,FALSE))</f>
        <v>#N/A</v>
      </c>
    </row>
    <row r="398" spans="2:9" x14ac:dyDescent="0.2">
      <c r="B398" s="70">
        <v>43809</v>
      </c>
      <c r="C398" s="13">
        <v>43794</v>
      </c>
      <c r="D398" s="14"/>
      <c r="E398" s="14"/>
      <c r="F398" s="15" t="s">
        <v>403</v>
      </c>
      <c r="G398" s="21">
        <v>7500</v>
      </c>
      <c r="H398" s="16" t="s">
        <v>5</v>
      </c>
      <c r="I398" s="19" t="e">
        <f>IF(Paid[[#This Row],[Currency]]="USD",Paid[[#This Row],[Montant]],Paid[[#This Row],[Montant]]/VLOOKUP(Paid[[#This Row],[Date Paid]],TableCurrencyRate[#All],2,FALSE))</f>
        <v>#N/A</v>
      </c>
    </row>
    <row r="399" spans="2:9" x14ac:dyDescent="0.2">
      <c r="B399" s="12">
        <v>43810</v>
      </c>
      <c r="C399" s="13">
        <v>43801</v>
      </c>
      <c r="D399" s="14"/>
      <c r="E399" s="14"/>
      <c r="F399" s="15" t="s">
        <v>321</v>
      </c>
      <c r="G399" s="21">
        <v>748200</v>
      </c>
      <c r="H399" s="16" t="s">
        <v>5</v>
      </c>
      <c r="I399" s="19" t="e">
        <f>IF(Paid[[#This Row],[Currency]]="USD",Paid[[#This Row],[Montant]],Paid[[#This Row],[Montant]]/VLOOKUP(Paid[[#This Row],[Date Paid]],TableCurrencyRate[#All],2,FALSE))</f>
        <v>#N/A</v>
      </c>
    </row>
    <row r="400" spans="2:9" x14ac:dyDescent="0.2">
      <c r="B400" s="70">
        <v>43810</v>
      </c>
      <c r="C400" s="13">
        <v>43802</v>
      </c>
      <c r="D400" s="14"/>
      <c r="E400" s="14"/>
      <c r="F400" s="15" t="s">
        <v>426</v>
      </c>
      <c r="G400" s="21">
        <v>121400</v>
      </c>
      <c r="H400" s="16" t="s">
        <v>5</v>
      </c>
      <c r="I400" s="19" t="e">
        <f>IF(Paid[[#This Row],[Currency]]="USD",Paid[[#This Row],[Montant]],Paid[[#This Row],[Montant]]/VLOOKUP(Paid[[#This Row],[Date Paid]],TableCurrencyRate[#All],2,FALSE))</f>
        <v>#N/A</v>
      </c>
    </row>
    <row r="401" spans="2:9" x14ac:dyDescent="0.2">
      <c r="B401" s="12">
        <v>43810</v>
      </c>
      <c r="C401" s="13">
        <v>43801</v>
      </c>
      <c r="D401" s="14"/>
      <c r="E401" s="14"/>
      <c r="F401" s="15" t="s">
        <v>404</v>
      </c>
      <c r="G401" s="21">
        <v>18600</v>
      </c>
      <c r="H401" s="16" t="s">
        <v>5</v>
      </c>
      <c r="I401" s="19" t="e">
        <f>IF(Paid[[#This Row],[Currency]]="USD",Paid[[#This Row],[Montant]],Paid[[#This Row],[Montant]]/VLOOKUP(Paid[[#This Row],[Date Paid]],TableCurrencyRate[#All],2,FALSE))</f>
        <v>#N/A</v>
      </c>
    </row>
    <row r="402" spans="2:9" x14ac:dyDescent="0.2">
      <c r="B402" s="70">
        <v>43810</v>
      </c>
      <c r="C402" s="13">
        <v>43803</v>
      </c>
      <c r="D402" s="14"/>
      <c r="E402" s="14"/>
      <c r="F402" s="15" t="s">
        <v>465</v>
      </c>
      <c r="G402" s="21">
        <v>18500</v>
      </c>
      <c r="H402" s="16" t="s">
        <v>5</v>
      </c>
      <c r="I402" s="19" t="e">
        <f>IF(Paid[[#This Row],[Currency]]="USD",Paid[[#This Row],[Montant]],Paid[[#This Row],[Montant]]/VLOOKUP(Paid[[#This Row],[Date Paid]],TableCurrencyRate[#All],2,FALSE))</f>
        <v>#N/A</v>
      </c>
    </row>
    <row r="403" spans="2:9" x14ac:dyDescent="0.2">
      <c r="B403" s="12">
        <v>43813</v>
      </c>
      <c r="C403" s="13">
        <v>43802</v>
      </c>
      <c r="D403" s="14" t="s">
        <v>463</v>
      </c>
      <c r="E403" s="14" t="s">
        <v>355</v>
      </c>
      <c r="F403" s="15" t="s">
        <v>464</v>
      </c>
      <c r="G403" s="21">
        <v>175000</v>
      </c>
      <c r="H403" s="16" t="s">
        <v>5</v>
      </c>
      <c r="I403" s="19" t="e">
        <f>IF(Paid[[#This Row],[Currency]]="USD",Paid[[#This Row],[Montant]],Paid[[#This Row],[Montant]]/VLOOKUP(Paid[[#This Row],[Date Paid]],TableCurrencyRate[#All],2,FALSE))</f>
        <v>#N/A</v>
      </c>
    </row>
    <row r="404" spans="2:9" x14ac:dyDescent="0.2">
      <c r="B404" s="70">
        <v>43813</v>
      </c>
      <c r="C404" s="13">
        <v>43811</v>
      </c>
      <c r="D404" s="14"/>
      <c r="E404" s="14" t="s">
        <v>432</v>
      </c>
      <c r="F404" s="15" t="s">
        <v>488</v>
      </c>
      <c r="G404" s="21">
        <v>33300</v>
      </c>
      <c r="H404" s="16" t="s">
        <v>5</v>
      </c>
      <c r="I404" s="19" t="e">
        <f>IF(Paid[[#This Row],[Currency]]="USD",Paid[[#This Row],[Montant]],Paid[[#This Row],[Montant]]/VLOOKUP(Paid[[#This Row],[Date Paid]],TableCurrencyRate[#All],2,FALSE))</f>
        <v>#N/A</v>
      </c>
    </row>
    <row r="405" spans="2:9" x14ac:dyDescent="0.2">
      <c r="B405" s="12">
        <v>43813</v>
      </c>
      <c r="C405" s="9">
        <v>43811</v>
      </c>
      <c r="D405" s="10"/>
      <c r="E405" s="10" t="s">
        <v>484</v>
      </c>
      <c r="F405" s="11" t="s">
        <v>485</v>
      </c>
      <c r="G405" s="18">
        <f>107000-53500</f>
        <v>53500</v>
      </c>
      <c r="H405" s="18" t="s">
        <v>5</v>
      </c>
      <c r="I405" s="19" t="e">
        <f>IF(Paid[[#This Row],[Currency]]="USD",Paid[[#This Row],[Montant]],Paid[[#This Row],[Montant]]/VLOOKUP(Paid[[#This Row],[Date Paid]],TableCurrencyRate[#All],2,FALSE))</f>
        <v>#N/A</v>
      </c>
    </row>
    <row r="406" spans="2:9" x14ac:dyDescent="0.2">
      <c r="B406" s="70">
        <v>43813</v>
      </c>
      <c r="C406" s="9">
        <v>43813</v>
      </c>
      <c r="D406" s="10"/>
      <c r="E406" s="10" t="s">
        <v>439</v>
      </c>
      <c r="F406" s="11" t="s">
        <v>496</v>
      </c>
      <c r="G406" s="18">
        <f>120000+24000</f>
        <v>144000</v>
      </c>
      <c r="H406" s="18" t="s">
        <v>5</v>
      </c>
      <c r="I406" s="19" t="e">
        <f>IF(Paid[[#This Row],[Currency]]="USD",Paid[[#This Row],[Montant]],Paid[[#This Row],[Montant]]/VLOOKUP(Paid[[#This Row],[Date Paid]],TableCurrencyRate[#All],2,FALSE))</f>
        <v>#N/A</v>
      </c>
    </row>
    <row r="407" spans="2:9" x14ac:dyDescent="0.2">
      <c r="B407" s="12">
        <v>43813</v>
      </c>
      <c r="C407" s="13">
        <v>43812</v>
      </c>
      <c r="D407" s="14"/>
      <c r="E407" s="14"/>
      <c r="F407" s="15" t="s">
        <v>482</v>
      </c>
      <c r="G407" s="21">
        <f>48500+10700</f>
        <v>59200</v>
      </c>
      <c r="H407" s="16" t="s">
        <v>5</v>
      </c>
      <c r="I407" s="19" t="e">
        <f>IF(Paid[[#This Row],[Currency]]="USD",Paid[[#This Row],[Montant]],Paid[[#This Row],[Montant]]/VLOOKUP(Paid[[#This Row],[Date Paid]],TableCurrencyRate[#All],2,FALSE))</f>
        <v>#N/A</v>
      </c>
    </row>
    <row r="408" spans="2:9" x14ac:dyDescent="0.2">
      <c r="B408" s="70">
        <v>43813</v>
      </c>
      <c r="C408" s="9">
        <v>43812</v>
      </c>
      <c r="D408" s="10"/>
      <c r="E408" s="10" t="s">
        <v>333</v>
      </c>
      <c r="F408" s="11" t="s">
        <v>483</v>
      </c>
      <c r="G408" s="18">
        <f>57500-21250</f>
        <v>36250</v>
      </c>
      <c r="H408" s="18" t="s">
        <v>5</v>
      </c>
      <c r="I408" s="19" t="e">
        <f>IF(Paid[[#This Row],[Currency]]="USD",Paid[[#This Row],[Montant]],Paid[[#This Row],[Montant]]/VLOOKUP(Paid[[#This Row],[Date Paid]],TableCurrencyRate[#All],2,FALSE))</f>
        <v>#N/A</v>
      </c>
    </row>
    <row r="409" spans="2:9" x14ac:dyDescent="0.2">
      <c r="B409" s="12">
        <v>43813</v>
      </c>
      <c r="C409" s="9">
        <v>43812</v>
      </c>
      <c r="D409" s="10"/>
      <c r="E409" s="10" t="s">
        <v>484</v>
      </c>
      <c r="F409" s="11" t="s">
        <v>485</v>
      </c>
      <c r="G409" s="18">
        <f>46500+6200</f>
        <v>52700</v>
      </c>
      <c r="H409" s="18" t="s">
        <v>5</v>
      </c>
      <c r="I409" s="19" t="e">
        <f>IF(Paid[[#This Row],[Currency]]="USD",Paid[[#This Row],[Montant]],Paid[[#This Row],[Montant]]/VLOOKUP(Paid[[#This Row],[Date Paid]],TableCurrencyRate[#All],2,FALSE))</f>
        <v>#N/A</v>
      </c>
    </row>
    <row r="410" spans="2:9" x14ac:dyDescent="0.2">
      <c r="B410" s="70">
        <v>43813</v>
      </c>
      <c r="C410" s="9">
        <v>43812</v>
      </c>
      <c r="D410" s="10"/>
      <c r="E410" s="10" t="s">
        <v>233</v>
      </c>
      <c r="F410" s="11" t="s">
        <v>486</v>
      </c>
      <c r="G410" s="18">
        <f>37600-4400</f>
        <v>33200</v>
      </c>
      <c r="H410" s="18" t="s">
        <v>5</v>
      </c>
      <c r="I410" s="19" t="e">
        <f>IF(Paid[[#This Row],[Currency]]="USD",Paid[[#This Row],[Montant]],Paid[[#This Row],[Montant]]/VLOOKUP(Paid[[#This Row],[Date Paid]],TableCurrencyRate[#All],2,FALSE))</f>
        <v>#N/A</v>
      </c>
    </row>
    <row r="411" spans="2:9" x14ac:dyDescent="0.2">
      <c r="B411" s="12">
        <v>43813</v>
      </c>
      <c r="C411" s="9">
        <v>43812</v>
      </c>
      <c r="D411" s="10"/>
      <c r="E411" s="10" t="s">
        <v>60</v>
      </c>
      <c r="F411" s="11" t="s">
        <v>487</v>
      </c>
      <c r="G411" s="18">
        <f>25300-3850</f>
        <v>21450</v>
      </c>
      <c r="H411" s="18" t="s">
        <v>5</v>
      </c>
      <c r="I411" s="19" t="e">
        <f>IF(Paid[[#This Row],[Currency]]="USD",Paid[[#This Row],[Montant]],Paid[[#This Row],[Montant]]/VLOOKUP(Paid[[#This Row],[Date Paid]],TableCurrencyRate[#All],2,FALSE))</f>
        <v>#N/A</v>
      </c>
    </row>
    <row r="412" spans="2:9" x14ac:dyDescent="0.2">
      <c r="B412" s="70">
        <v>43813</v>
      </c>
      <c r="C412" s="9">
        <v>43812</v>
      </c>
      <c r="D412" s="10"/>
      <c r="E412" s="10" t="s">
        <v>432</v>
      </c>
      <c r="F412" s="11" t="s">
        <v>488</v>
      </c>
      <c r="G412" s="18">
        <f>22500-4800</f>
        <v>17700</v>
      </c>
      <c r="H412" s="18" t="s">
        <v>5</v>
      </c>
      <c r="I412" s="19" t="e">
        <f>IF(Paid[[#This Row],[Currency]]="USD",Paid[[#This Row],[Montant]],Paid[[#This Row],[Montant]]/VLOOKUP(Paid[[#This Row],[Date Paid]],TableCurrencyRate[#All],2,FALSE))</f>
        <v>#N/A</v>
      </c>
    </row>
    <row r="413" spans="2:9" x14ac:dyDescent="0.2">
      <c r="B413" s="12">
        <v>43813</v>
      </c>
      <c r="C413" s="9">
        <v>43812</v>
      </c>
      <c r="D413" s="10"/>
      <c r="E413" s="10" t="s">
        <v>489</v>
      </c>
      <c r="F413" s="11" t="s">
        <v>490</v>
      </c>
      <c r="G413" s="18">
        <f>14000-200</f>
        <v>13800</v>
      </c>
      <c r="H413" s="18" t="s">
        <v>5</v>
      </c>
      <c r="I413" s="19" t="e">
        <f>IF(Paid[[#This Row],[Currency]]="USD",Paid[[#This Row],[Montant]],Paid[[#This Row],[Montant]]/VLOOKUP(Paid[[#This Row],[Date Paid]],TableCurrencyRate[#All],2,FALSE))</f>
        <v>#N/A</v>
      </c>
    </row>
    <row r="414" spans="2:9" x14ac:dyDescent="0.2">
      <c r="B414" s="70">
        <v>43813</v>
      </c>
      <c r="C414" s="9">
        <v>43812</v>
      </c>
      <c r="D414" s="10"/>
      <c r="E414" s="10" t="s">
        <v>263</v>
      </c>
      <c r="F414" s="11" t="s">
        <v>491</v>
      </c>
      <c r="G414" s="18">
        <f>28500-7650</f>
        <v>20850</v>
      </c>
      <c r="H414" s="18" t="s">
        <v>5</v>
      </c>
      <c r="I414" s="19" t="e">
        <f>IF(Paid[[#This Row],[Currency]]="USD",Paid[[#This Row],[Montant]],Paid[[#This Row],[Montant]]/VLOOKUP(Paid[[#This Row],[Date Paid]],TableCurrencyRate[#All],2,FALSE))</f>
        <v>#N/A</v>
      </c>
    </row>
    <row r="415" spans="2:9" x14ac:dyDescent="0.2">
      <c r="B415" s="70">
        <v>43813</v>
      </c>
      <c r="C415" s="13">
        <v>43812</v>
      </c>
      <c r="D415" s="14"/>
      <c r="E415" s="14" t="s">
        <v>432</v>
      </c>
      <c r="F415" s="15" t="s">
        <v>488</v>
      </c>
      <c r="G415" s="21">
        <f>35000-5100</f>
        <v>29900</v>
      </c>
      <c r="H415" s="16" t="s">
        <v>5</v>
      </c>
      <c r="I415" s="19" t="e">
        <f>IF(Paid[[#This Row],[Currency]]="USD",Paid[[#This Row],[Montant]],Paid[[#This Row],[Montant]]/VLOOKUP(Paid[[#This Row],[Date Paid]],TableCurrencyRate[#All],2,FALSE))</f>
        <v>#N/A</v>
      </c>
    </row>
    <row r="416" spans="2:9" x14ac:dyDescent="0.2">
      <c r="B416" s="12">
        <v>43813</v>
      </c>
      <c r="C416" s="9">
        <v>43812</v>
      </c>
      <c r="D416" s="10"/>
      <c r="E416" s="10" t="s">
        <v>366</v>
      </c>
      <c r="F416" s="11" t="s">
        <v>482</v>
      </c>
      <c r="G416" s="18">
        <v>107000</v>
      </c>
      <c r="H416" s="18" t="s">
        <v>5</v>
      </c>
      <c r="I416" s="19" t="e">
        <f>IF(Paid[[#This Row],[Currency]]="USD",Paid[[#This Row],[Montant]],Paid[[#This Row],[Montant]]/VLOOKUP(Paid[[#This Row],[Date Paid]],TableCurrencyRate[#All],2,FALSE))</f>
        <v>#N/A</v>
      </c>
    </row>
    <row r="417" spans="2:9" x14ac:dyDescent="0.2">
      <c r="B417" s="70">
        <v>43813</v>
      </c>
      <c r="C417" s="9">
        <v>43801</v>
      </c>
      <c r="D417" s="10"/>
      <c r="E417" s="10"/>
      <c r="F417" s="11" t="s">
        <v>459</v>
      </c>
      <c r="G417" s="18">
        <v>800000</v>
      </c>
      <c r="H417" s="18" t="s">
        <v>5</v>
      </c>
      <c r="I417" s="19" t="e">
        <f>IF(Paid[[#This Row],[Currency]]="USD",Paid[[#This Row],[Montant]],Paid[[#This Row],[Montant]]/VLOOKUP(Paid[[#This Row],[Date Paid]],TableCurrencyRate[#All],2,FALSE))</f>
        <v>#N/A</v>
      </c>
    </row>
    <row r="418" spans="2:9" x14ac:dyDescent="0.2">
      <c r="B418" s="12">
        <v>43813</v>
      </c>
      <c r="C418" s="9">
        <v>43762</v>
      </c>
      <c r="D418" s="10" t="s">
        <v>46</v>
      </c>
      <c r="E418" s="10"/>
      <c r="F418" s="11" t="s">
        <v>268</v>
      </c>
      <c r="G418" s="18">
        <v>259100</v>
      </c>
      <c r="H418" s="18" t="s">
        <v>5</v>
      </c>
      <c r="I418" s="19" t="e">
        <f>IF(Paid[[#This Row],[Currency]]="USD",Paid[[#This Row],[Montant]],Paid[[#This Row],[Montant]]/VLOOKUP(Paid[[#This Row],[Date Paid]],TableCurrencyRate[#All],2,FALSE))</f>
        <v>#N/A</v>
      </c>
    </row>
    <row r="419" spans="2:9" x14ac:dyDescent="0.2">
      <c r="B419" s="70">
        <v>43813</v>
      </c>
      <c r="C419" s="9">
        <v>43812</v>
      </c>
      <c r="D419" s="10"/>
      <c r="E419" s="10"/>
      <c r="F419" s="11" t="s">
        <v>493</v>
      </c>
      <c r="G419" s="18">
        <v>70000</v>
      </c>
      <c r="H419" s="18" t="s">
        <v>5</v>
      </c>
      <c r="I419" s="19" t="e">
        <f>IF(Paid[[#This Row],[Currency]]="USD",Paid[[#This Row],[Montant]],Paid[[#This Row],[Montant]]/VLOOKUP(Paid[[#This Row],[Date Paid]],TableCurrencyRate[#All],2,FALSE))</f>
        <v>#N/A</v>
      </c>
    </row>
    <row r="420" spans="2:9" x14ac:dyDescent="0.2">
      <c r="B420" s="12">
        <v>43813</v>
      </c>
      <c r="C420" s="9">
        <v>43812</v>
      </c>
      <c r="D420" s="10"/>
      <c r="E420" s="10"/>
      <c r="F420" s="11" t="s">
        <v>492</v>
      </c>
      <c r="G420" s="18">
        <f>545000-13900</f>
        <v>531100</v>
      </c>
      <c r="H420" s="18" t="s">
        <v>5</v>
      </c>
      <c r="I420" s="19" t="e">
        <f>IF(Paid[[#This Row],[Currency]]="USD",Paid[[#This Row],[Montant]],Paid[[#This Row],[Montant]]/VLOOKUP(Paid[[#This Row],[Date Paid]],TableCurrencyRate[#All],2,FALSE))</f>
        <v>#N/A</v>
      </c>
    </row>
    <row r="421" spans="2:9" x14ac:dyDescent="0.2">
      <c r="B421" s="70">
        <v>43813</v>
      </c>
      <c r="C421" s="9">
        <v>43824</v>
      </c>
      <c r="D421" s="10"/>
      <c r="E421" s="10"/>
      <c r="F421" s="11" t="s">
        <v>451</v>
      </c>
      <c r="G421" s="18">
        <v>3000000</v>
      </c>
      <c r="H421" s="18" t="s">
        <v>5</v>
      </c>
      <c r="I421" s="19" t="e">
        <f>IF(Paid[[#This Row],[Currency]]="USD",Paid[[#This Row],[Montant]],Paid[[#This Row],[Montant]]/VLOOKUP(Paid[[#This Row],[Date Paid]],TableCurrencyRate[#All],2,FALSE))</f>
        <v>#N/A</v>
      </c>
    </row>
    <row r="422" spans="2:9" x14ac:dyDescent="0.2">
      <c r="B422" s="12">
        <v>43813</v>
      </c>
      <c r="C422" s="9">
        <v>43791</v>
      </c>
      <c r="D422" s="10"/>
      <c r="E422" s="10"/>
      <c r="F422" s="11" t="s">
        <v>428</v>
      </c>
      <c r="G422" s="18">
        <v>63000</v>
      </c>
      <c r="H422" s="18" t="s">
        <v>5</v>
      </c>
      <c r="I422" s="19" t="e">
        <f>IF(Paid[[#This Row],[Currency]]="USD",Paid[[#This Row],[Montant]],Paid[[#This Row],[Montant]]/VLOOKUP(Paid[[#This Row],[Date Paid]],TableCurrencyRate[#All],2,FALSE))</f>
        <v>#N/A</v>
      </c>
    </row>
    <row r="423" spans="2:9" x14ac:dyDescent="0.2">
      <c r="B423" s="70">
        <v>43813</v>
      </c>
      <c r="C423" s="13">
        <v>43791</v>
      </c>
      <c r="D423" s="14"/>
      <c r="E423" s="14"/>
      <c r="F423" s="15" t="s">
        <v>495</v>
      </c>
      <c r="G423" s="21">
        <v>531</v>
      </c>
      <c r="H423" s="16" t="s">
        <v>6</v>
      </c>
      <c r="I423" s="19">
        <f>IF(Paid[[#This Row],[Currency]]="USD",Paid[[#This Row],[Montant]],Paid[[#This Row],[Montant]]/VLOOKUP(Paid[[#This Row],[Date Paid]],TableCurrencyRate[#All],2,FALSE))</f>
        <v>531</v>
      </c>
    </row>
    <row r="424" spans="2:9" x14ac:dyDescent="0.2">
      <c r="B424" s="12">
        <v>43813</v>
      </c>
      <c r="C424" s="13">
        <v>43807</v>
      </c>
      <c r="D424" s="14" t="s">
        <v>313</v>
      </c>
      <c r="E424" s="14"/>
      <c r="F424" s="15" t="s">
        <v>315</v>
      </c>
      <c r="G424" s="21">
        <v>877</v>
      </c>
      <c r="H424" s="16" t="s">
        <v>6</v>
      </c>
      <c r="I424" s="19">
        <f>IF(Paid[[#This Row],[Currency]]="USD",Paid[[#This Row],[Montant]],Paid[[#This Row],[Montant]]/VLOOKUP(Paid[[#This Row],[Date Paid]],TableCurrencyRate[#All],2,FALSE))</f>
        <v>877</v>
      </c>
    </row>
    <row r="425" spans="2:9" x14ac:dyDescent="0.2">
      <c r="B425" s="70">
        <v>43813</v>
      </c>
      <c r="C425" s="13">
        <v>43811</v>
      </c>
      <c r="D425" s="14"/>
      <c r="E425" s="14"/>
      <c r="F425" s="15" t="s">
        <v>494</v>
      </c>
      <c r="G425" s="21">
        <v>18</v>
      </c>
      <c r="H425" s="16" t="s">
        <v>6</v>
      </c>
      <c r="I425" s="19">
        <f>IF(Paid[[#This Row],[Currency]]="USD",Paid[[#This Row],[Montant]],Paid[[#This Row],[Montant]]/VLOOKUP(Paid[[#This Row],[Date Paid]],TableCurrencyRate[#All],2,FALSE))</f>
        <v>18</v>
      </c>
    </row>
    <row r="426" spans="2:9" x14ac:dyDescent="0.2">
      <c r="B426" s="12">
        <v>43813</v>
      </c>
      <c r="C426" s="55">
        <v>43787</v>
      </c>
      <c r="D426" s="16" t="s">
        <v>324</v>
      </c>
      <c r="E426" s="16"/>
      <c r="F426" s="56" t="s">
        <v>480</v>
      </c>
      <c r="G426" s="21">
        <v>2603</v>
      </c>
      <c r="H426" s="16" t="s">
        <v>6</v>
      </c>
      <c r="I426" s="19">
        <f>IF(Paid[[#This Row],[Currency]]="USD",Paid[[#This Row],[Montant]],Paid[[#This Row],[Montant]]/VLOOKUP(Paid[[#This Row],[Date Paid]],TableCurrencyRate[#All],2,FALSE))</f>
        <v>2603</v>
      </c>
    </row>
    <row r="427" spans="2:9" x14ac:dyDescent="0.2">
      <c r="B427" s="12">
        <v>43815</v>
      </c>
      <c r="C427" s="13">
        <v>43801</v>
      </c>
      <c r="D427" s="14"/>
      <c r="E427" s="14"/>
      <c r="F427" s="15" t="s">
        <v>458</v>
      </c>
      <c r="G427" s="21">
        <v>600000</v>
      </c>
      <c r="H427" s="16" t="s">
        <v>5</v>
      </c>
      <c r="I427" s="19" t="e">
        <f>IF(Paid[[#This Row],[Currency]]="USD",Paid[[#This Row],[Montant]],Paid[[#This Row],[Montant]]/VLOOKUP(Paid[[#This Row],[Date Paid]],TableCurrencyRate[#All],2,FALSE))</f>
        <v>#N/A</v>
      </c>
    </row>
    <row r="428" spans="2:9" x14ac:dyDescent="0.2">
      <c r="B428" s="12">
        <v>43815</v>
      </c>
      <c r="C428" s="13">
        <v>43801</v>
      </c>
      <c r="D428" s="14"/>
      <c r="E428" s="14"/>
      <c r="F428" s="15" t="s">
        <v>460</v>
      </c>
      <c r="G428" s="21">
        <v>700000</v>
      </c>
      <c r="H428" s="16" t="s">
        <v>5</v>
      </c>
      <c r="I428" s="19" t="e">
        <f>IF(Paid[[#This Row],[Currency]]="USD",Paid[[#This Row],[Montant]],Paid[[#This Row],[Montant]]/VLOOKUP(Paid[[#This Row],[Date Paid]],TableCurrencyRate[#All],2,FALSE))</f>
        <v>#N/A</v>
      </c>
    </row>
    <row r="429" spans="2:9" x14ac:dyDescent="0.2">
      <c r="B429" s="12">
        <v>43815</v>
      </c>
      <c r="C429" s="13">
        <v>43801</v>
      </c>
      <c r="D429" s="14"/>
      <c r="E429" s="14"/>
      <c r="F429" s="15" t="s">
        <v>461</v>
      </c>
      <c r="G429" s="21">
        <v>700000</v>
      </c>
      <c r="H429" s="16" t="s">
        <v>5</v>
      </c>
      <c r="I429" s="19" t="e">
        <f>IF(Paid[[#This Row],[Currency]]="USD",Paid[[#This Row],[Montant]],Paid[[#This Row],[Montant]]/VLOOKUP(Paid[[#This Row],[Date Paid]],TableCurrencyRate[#All],2,FALSE))</f>
        <v>#N/A</v>
      </c>
    </row>
    <row r="430" spans="2:9" x14ac:dyDescent="0.2">
      <c r="B430" s="12">
        <v>43815</v>
      </c>
      <c r="C430" s="13">
        <v>43771</v>
      </c>
      <c r="D430" s="14"/>
      <c r="E430" s="14"/>
      <c r="F430" s="15" t="s">
        <v>457</v>
      </c>
      <c r="G430" s="21">
        <v>119850</v>
      </c>
      <c r="H430" s="16" t="s">
        <v>5</v>
      </c>
      <c r="I430" s="19" t="e">
        <f>IF(Paid[[#This Row],[Currency]]="USD",Paid[[#This Row],[Montant]],Paid[[#This Row],[Montant]]/VLOOKUP(Paid[[#This Row],[Date Paid]],TableCurrencyRate[#All],2,FALSE))</f>
        <v>#N/A</v>
      </c>
    </row>
    <row r="431" spans="2:9" x14ac:dyDescent="0.2">
      <c r="B431" s="12">
        <v>43815</v>
      </c>
      <c r="C431" s="13">
        <v>43771</v>
      </c>
      <c r="D431" s="14"/>
      <c r="E431" s="14"/>
      <c r="F431" s="15" t="s">
        <v>343</v>
      </c>
      <c r="G431" s="58">
        <v>201250</v>
      </c>
      <c r="H431" s="16" t="s">
        <v>5</v>
      </c>
      <c r="I431" s="19" t="e">
        <f>IF(Paid[[#This Row],[Currency]]="USD",Paid[[#This Row],[Montant]],Paid[[#This Row],[Montant]]/VLOOKUP(Paid[[#This Row],[Date Paid]],TableCurrencyRate[#All],2,FALSE))</f>
        <v>#N/A</v>
      </c>
    </row>
    <row r="432" spans="2:9" x14ac:dyDescent="0.2">
      <c r="B432" s="12">
        <v>43815</v>
      </c>
      <c r="C432" s="13">
        <v>43794</v>
      </c>
      <c r="D432" s="14"/>
      <c r="E432" s="14"/>
      <c r="F432" s="15" t="s">
        <v>475</v>
      </c>
      <c r="G432" s="21">
        <v>33000</v>
      </c>
      <c r="H432" s="16" t="s">
        <v>5</v>
      </c>
      <c r="I432" s="19" t="e">
        <f>IF(Paid[[#This Row],[Currency]]="USD",Paid[[#This Row],[Montant]],Paid[[#This Row],[Montant]]/VLOOKUP(Paid[[#This Row],[Date Paid]],TableCurrencyRate[#All],2,FALSE))</f>
        <v>#N/A</v>
      </c>
    </row>
    <row r="433" spans="2:9" x14ac:dyDescent="0.2">
      <c r="B433" s="12">
        <v>43815</v>
      </c>
      <c r="C433" s="13">
        <v>43787</v>
      </c>
      <c r="D433" s="14"/>
      <c r="E433" s="14"/>
      <c r="F433" s="15" t="s">
        <v>472</v>
      </c>
      <c r="G433" s="21">
        <v>40000</v>
      </c>
      <c r="H433" s="16" t="s">
        <v>5</v>
      </c>
      <c r="I433" s="19" t="e">
        <f>IF(Paid[[#This Row],[Currency]]="USD",Paid[[#This Row],[Montant]],Paid[[#This Row],[Montant]]/VLOOKUP(Paid[[#This Row],[Date Paid]],TableCurrencyRate[#All],2,FALSE))</f>
        <v>#N/A</v>
      </c>
    </row>
    <row r="434" spans="2:9" x14ac:dyDescent="0.2">
      <c r="B434" s="12">
        <v>43815</v>
      </c>
      <c r="C434" s="13">
        <v>43791</v>
      </c>
      <c r="D434" s="14"/>
      <c r="E434" s="14"/>
      <c r="F434" s="15" t="s">
        <v>473</v>
      </c>
      <c r="G434" s="21">
        <v>42000</v>
      </c>
      <c r="H434" s="16" t="s">
        <v>5</v>
      </c>
      <c r="I434" s="19" t="e">
        <f>IF(Paid[[#This Row],[Currency]]="USD",Paid[[#This Row],[Montant]],Paid[[#This Row],[Montant]]/VLOOKUP(Paid[[#This Row],[Date Paid]],TableCurrencyRate[#All],2,FALSE))</f>
        <v>#N/A</v>
      </c>
    </row>
    <row r="435" spans="2:9" x14ac:dyDescent="0.2">
      <c r="B435" s="12">
        <v>43815</v>
      </c>
      <c r="C435" s="13">
        <v>43797</v>
      </c>
      <c r="D435" s="14"/>
      <c r="E435" s="14"/>
      <c r="F435" s="15" t="s">
        <v>474</v>
      </c>
      <c r="G435" s="21">
        <v>47000</v>
      </c>
      <c r="H435" s="16" t="s">
        <v>5</v>
      </c>
      <c r="I435" s="19" t="e">
        <f>IF(Paid[[#This Row],[Currency]]="USD",Paid[[#This Row],[Montant]],Paid[[#This Row],[Montant]]/VLOOKUP(Paid[[#This Row],[Date Paid]],TableCurrencyRate[#All],2,FALSE))</f>
        <v>#N/A</v>
      </c>
    </row>
    <row r="436" spans="2:9" x14ac:dyDescent="0.2">
      <c r="B436" s="12">
        <v>43815</v>
      </c>
      <c r="C436" s="55">
        <v>43814</v>
      </c>
      <c r="D436" s="16" t="s">
        <v>478</v>
      </c>
      <c r="E436" s="16"/>
      <c r="F436" s="56" t="s">
        <v>479</v>
      </c>
      <c r="G436" s="21">
        <v>2200</v>
      </c>
      <c r="H436" s="16" t="s">
        <v>6</v>
      </c>
      <c r="I436" s="19">
        <f>IF(Paid[[#This Row],[Currency]]="USD",Paid[[#This Row],[Montant]],Paid[[#This Row],[Montant]]/VLOOKUP(Paid[[#This Row],[Date Paid]],TableCurrencyRate[#All],2,FALSE))</f>
        <v>2200</v>
      </c>
    </row>
    <row r="437" spans="2:9" x14ac:dyDescent="0.2">
      <c r="B437" s="12">
        <v>43815</v>
      </c>
      <c r="C437" s="9">
        <v>43815</v>
      </c>
      <c r="D437" s="10"/>
      <c r="E437" s="10"/>
      <c r="F437" s="11" t="s">
        <v>497</v>
      </c>
      <c r="G437" s="18">
        <v>33</v>
      </c>
      <c r="H437" s="18" t="s">
        <v>6</v>
      </c>
      <c r="I437" s="19">
        <f>IF(Paid[[#This Row],[Currency]]="USD",Paid[[#This Row],[Montant]],Paid[[#This Row],[Montant]]/VLOOKUP(Paid[[#This Row],[Date Paid]],TableCurrencyRate[#All],2,FALSE))</f>
        <v>33</v>
      </c>
    </row>
    <row r="438" spans="2:9" x14ac:dyDescent="0.2">
      <c r="B438" s="12">
        <v>43819</v>
      </c>
      <c r="C438" s="9">
        <v>43819</v>
      </c>
      <c r="D438" s="10"/>
      <c r="E438" s="10"/>
      <c r="F438" s="11" t="s">
        <v>498</v>
      </c>
      <c r="G438" s="18">
        <f>31800-11600</f>
        <v>20200</v>
      </c>
      <c r="H438" s="18" t="s">
        <v>5</v>
      </c>
      <c r="I438" s="19" t="e">
        <f>IF(Paid[[#This Row],[Currency]]="USD",Paid[[#This Row],[Montant]],Paid[[#This Row],[Montant]]/VLOOKUP(Paid[[#This Row],[Date Paid]],TableCurrencyRate[#All],2,FALSE))</f>
        <v>#N/A</v>
      </c>
    </row>
    <row r="439" spans="2:9" x14ac:dyDescent="0.2">
      <c r="B439" s="12">
        <v>43819</v>
      </c>
      <c r="C439" s="9">
        <v>43819</v>
      </c>
      <c r="D439" s="10"/>
      <c r="E439" s="10"/>
      <c r="F439" s="11" t="s">
        <v>499</v>
      </c>
      <c r="G439" s="18">
        <v>112400</v>
      </c>
      <c r="H439" s="18" t="s">
        <v>5</v>
      </c>
      <c r="I439" s="19" t="e">
        <f>IF(Paid[[#This Row],[Currency]]="USD",Paid[[#This Row],[Montant]],Paid[[#This Row],[Montant]]/VLOOKUP(Paid[[#This Row],[Date Paid]],TableCurrencyRate[#All],2,FALSE))</f>
        <v>#N/A</v>
      </c>
    </row>
    <row r="440" spans="2:9" x14ac:dyDescent="0.2">
      <c r="B440" s="12">
        <v>43826</v>
      </c>
      <c r="C440" s="13">
        <v>43774</v>
      </c>
      <c r="D440" s="14" t="s">
        <v>279</v>
      </c>
      <c r="E440" s="14" t="s">
        <v>263</v>
      </c>
      <c r="F440" s="15" t="s">
        <v>477</v>
      </c>
      <c r="G440" s="21">
        <v>1071000</v>
      </c>
      <c r="H440" s="16" t="s">
        <v>5</v>
      </c>
      <c r="I440" s="19" t="e">
        <f>IF(Paid[[#This Row],[Currency]]="USD",Paid[[#This Row],[Montant]],Paid[[#This Row],[Montant]]/VLOOKUP(Paid[[#This Row],[Date Paid]],TableCurrencyRate[#All],2,FALSE))</f>
        <v>#N/A</v>
      </c>
    </row>
    <row r="441" spans="2:9" x14ac:dyDescent="0.2">
      <c r="B441" s="12">
        <v>43826</v>
      </c>
      <c r="C441" s="13">
        <v>43811</v>
      </c>
      <c r="D441" s="14" t="s">
        <v>279</v>
      </c>
      <c r="E441" s="14" t="s">
        <v>333</v>
      </c>
      <c r="F441" s="15" t="s">
        <v>456</v>
      </c>
      <c r="G441" s="21">
        <v>357000</v>
      </c>
      <c r="H441" s="16" t="s">
        <v>5</v>
      </c>
      <c r="I441" s="19" t="e">
        <f>IF(Paid[[#This Row],[Currency]]="USD",Paid[[#This Row],[Montant]],Paid[[#This Row],[Montant]]/VLOOKUP(Paid[[#This Row],[Date Paid]],TableCurrencyRate[#All],2,FALSE))</f>
        <v>#N/A</v>
      </c>
    </row>
    <row r="442" spans="2:9" x14ac:dyDescent="0.2">
      <c r="B442" s="12">
        <v>43826</v>
      </c>
      <c r="C442" s="9">
        <v>43794</v>
      </c>
      <c r="D442" s="10"/>
      <c r="E442" s="10"/>
      <c r="F442" s="11" t="s">
        <v>21</v>
      </c>
      <c r="G442" s="18">
        <v>216100</v>
      </c>
      <c r="H442" s="18" t="s">
        <v>5</v>
      </c>
      <c r="I442" s="19" t="e">
        <f>IF(Paid[[#This Row],[Currency]]="USD",Paid[[#This Row],[Montant]],Paid[[#This Row],[Montant]]/VLOOKUP(Paid[[#This Row],[Date Paid]],TableCurrencyRate[#All],2,FALSE))</f>
        <v>#N/A</v>
      </c>
    </row>
    <row r="443" spans="2:9" x14ac:dyDescent="0.2">
      <c r="B443" s="12">
        <v>43826</v>
      </c>
      <c r="C443" s="9">
        <v>43809</v>
      </c>
      <c r="D443" s="10"/>
      <c r="E443" s="10" t="s">
        <v>439</v>
      </c>
      <c r="F443" s="11" t="s">
        <v>438</v>
      </c>
      <c r="G443" s="18">
        <f>450000-243700</f>
        <v>206300</v>
      </c>
      <c r="H443" s="18" t="s">
        <v>5</v>
      </c>
      <c r="I443" s="19" t="e">
        <f>IF(Paid[[#This Row],[Currency]]="USD",Paid[[#This Row],[Montant]],Paid[[#This Row],[Montant]]/VLOOKUP(Paid[[#This Row],[Date Paid]],TableCurrencyRate[#All],2,FALSE))</f>
        <v>#N/A</v>
      </c>
    </row>
    <row r="444" spans="2:9" x14ac:dyDescent="0.2">
      <c r="B444" s="12">
        <v>43826</v>
      </c>
      <c r="C444" s="9">
        <v>43801</v>
      </c>
      <c r="D444" s="10"/>
      <c r="E444" s="10" t="s">
        <v>233</v>
      </c>
      <c r="F444" s="11" t="s">
        <v>449</v>
      </c>
      <c r="G444" s="18">
        <f>19500-7350</f>
        <v>12150</v>
      </c>
      <c r="H444" s="18" t="s">
        <v>5</v>
      </c>
      <c r="I444" s="19" t="e">
        <f>IF(Paid[[#This Row],[Currency]]="USD",Paid[[#This Row],[Montant]],Paid[[#This Row],[Montant]]/VLOOKUP(Paid[[#This Row],[Date Paid]],TableCurrencyRate[#All],2,FALSE))</f>
        <v>#N/A</v>
      </c>
    </row>
    <row r="445" spans="2:9" x14ac:dyDescent="0.2">
      <c r="B445" s="12">
        <v>43829</v>
      </c>
      <c r="C445" s="9">
        <v>43829</v>
      </c>
      <c r="D445" s="10"/>
      <c r="E445" s="10"/>
      <c r="F445" s="11" t="s">
        <v>502</v>
      </c>
      <c r="G445" s="18">
        <v>51000</v>
      </c>
      <c r="H445" s="18" t="s">
        <v>5</v>
      </c>
      <c r="I445" s="19" t="e">
        <f>IF(Paid[[#This Row],[Currency]]="USD",Paid[[#This Row],[Montant]],Paid[[#This Row],[Montant]]/VLOOKUP(Paid[[#This Row],[Date Paid]],TableCurrencyRate[#All],2,FALSE))</f>
        <v>#N/A</v>
      </c>
    </row>
    <row r="446" spans="2:9" x14ac:dyDescent="0.2">
      <c r="B446" s="12">
        <v>43833</v>
      </c>
      <c r="C446" s="9">
        <v>40181</v>
      </c>
      <c r="D446" s="10"/>
      <c r="E446" s="10" t="s">
        <v>333</v>
      </c>
      <c r="F446" s="11" t="s">
        <v>503</v>
      </c>
      <c r="G446" s="18">
        <f>163800-37800</f>
        <v>126000</v>
      </c>
      <c r="H446" s="18" t="s">
        <v>5</v>
      </c>
      <c r="I446" s="19" t="e">
        <f>IF(Paid[[#This Row],[Currency]]="USD",Paid[[#This Row],[Montant]],Paid[[#This Row],[Montant]]/VLOOKUP(Paid[[#This Row],[Date Paid]],TableCurrencyRate[#All],2,FALSE))</f>
        <v>#N/A</v>
      </c>
    </row>
    <row r="447" spans="2:9" x14ac:dyDescent="0.2">
      <c r="B447" s="88">
        <v>43837</v>
      </c>
      <c r="C447" s="13">
        <v>43472</v>
      </c>
      <c r="D447" s="14"/>
      <c r="E447" s="14"/>
      <c r="F447" s="15" t="s">
        <v>559</v>
      </c>
      <c r="G447" s="21">
        <v>23406550</v>
      </c>
      <c r="H447" s="16" t="s">
        <v>5</v>
      </c>
      <c r="I447" s="87" t="e">
        <f>IF(Paid[[#This Row],[Currency]]="USD",Paid[[#This Row],[Montant]],Paid[[#This Row],[Montant]]/VLOOKUP(Paid[[#This Row],[Date Paid]],TableCurrencyRate[#All],2,FALSE))</f>
        <v>#N/A</v>
      </c>
    </row>
    <row r="448" spans="2:9" x14ac:dyDescent="0.2">
      <c r="B448" s="88">
        <v>43838</v>
      </c>
      <c r="C448" s="13">
        <v>43803</v>
      </c>
      <c r="D448" s="14"/>
      <c r="E448" s="14"/>
      <c r="F448" s="15" t="s">
        <v>17</v>
      </c>
      <c r="G448" s="21">
        <f>200000+6700</f>
        <v>206700</v>
      </c>
      <c r="H448" s="16" t="s">
        <v>5</v>
      </c>
      <c r="I448" s="87" t="e">
        <f>IF(Paid[[#This Row],[Currency]]="USD",Paid[[#This Row],[Montant]],Paid[[#This Row],[Montant]]/VLOOKUP(Paid[[#This Row],[Date Paid]],TableCurrencyRate[#All],2,FALSE))</f>
        <v>#N/A</v>
      </c>
    </row>
    <row r="449" spans="2:9" x14ac:dyDescent="0.2">
      <c r="B449" s="82">
        <v>43839</v>
      </c>
      <c r="C449" s="83">
        <v>43468</v>
      </c>
      <c r="D449" s="84"/>
      <c r="E449" s="84"/>
      <c r="F449" s="85" t="s">
        <v>509</v>
      </c>
      <c r="G449" s="86">
        <f>325000-88900</f>
        <v>236100</v>
      </c>
      <c r="H449" s="86" t="s">
        <v>5</v>
      </c>
      <c r="I449" s="87" t="e">
        <f>IF(Paid[[#This Row],[Currency]]="USD",Paid[[#This Row],[Montant]],Paid[[#This Row],[Montant]]/VLOOKUP(Paid[[#This Row],[Date Paid]],TableCurrencyRate[#All],2,FALSE))</f>
        <v>#N/A</v>
      </c>
    </row>
    <row r="450" spans="2:9" x14ac:dyDescent="0.2">
      <c r="B450" s="82">
        <v>43839</v>
      </c>
      <c r="C450" s="83">
        <v>43827</v>
      </c>
      <c r="D450" s="84"/>
      <c r="E450" s="84"/>
      <c r="F450" s="85" t="s">
        <v>510</v>
      </c>
      <c r="G450" s="86">
        <f>270000-99600</f>
        <v>170400</v>
      </c>
      <c r="H450" s="86" t="s">
        <v>5</v>
      </c>
      <c r="I450" s="87" t="e">
        <f>IF(Paid[[#This Row],[Currency]]="USD",Paid[[#This Row],[Montant]],Paid[[#This Row],[Montant]]/VLOOKUP(Paid[[#This Row],[Date Paid]],TableCurrencyRate[#All],2,FALSE))</f>
        <v>#N/A</v>
      </c>
    </row>
    <row r="451" spans="2:9" x14ac:dyDescent="0.2">
      <c r="B451" s="82">
        <v>43839</v>
      </c>
      <c r="C451" s="83">
        <v>43820</v>
      </c>
      <c r="D451" s="84"/>
      <c r="E451" s="84"/>
      <c r="F451" s="85" t="s">
        <v>511</v>
      </c>
      <c r="G451" s="86">
        <f>360000-64800</f>
        <v>295200</v>
      </c>
      <c r="H451" s="86" t="s">
        <v>5</v>
      </c>
      <c r="I451" s="87" t="e">
        <f>IF(Paid[[#This Row],[Currency]]="USD",Paid[[#This Row],[Montant]],Paid[[#This Row],[Montant]]/VLOOKUP(Paid[[#This Row],[Date Paid]],TableCurrencyRate[#All],2,FALSE))</f>
        <v>#N/A</v>
      </c>
    </row>
    <row r="452" spans="2:9" x14ac:dyDescent="0.2">
      <c r="B452" s="82">
        <v>43839</v>
      </c>
      <c r="C452" s="83">
        <v>43472</v>
      </c>
      <c r="D452" s="84"/>
      <c r="E452" s="84" t="s">
        <v>505</v>
      </c>
      <c r="F452" s="85" t="s">
        <v>506</v>
      </c>
      <c r="G452" s="86">
        <v>14000</v>
      </c>
      <c r="H452" s="86" t="s">
        <v>5</v>
      </c>
      <c r="I452" s="87" t="e">
        <f>IF(Paid[[#This Row],[Currency]]="USD",Paid[[#This Row],[Montant]],Paid[[#This Row],[Montant]]/VLOOKUP(Paid[[#This Row],[Date Paid]],TableCurrencyRate[#All],2,FALSE))</f>
        <v>#N/A</v>
      </c>
    </row>
    <row r="453" spans="2:9" x14ac:dyDescent="0.2">
      <c r="B453" s="82">
        <v>43839</v>
      </c>
      <c r="C453" s="83">
        <v>43467</v>
      </c>
      <c r="D453" s="84"/>
      <c r="E453" s="84" t="s">
        <v>333</v>
      </c>
      <c r="F453" s="85" t="s">
        <v>512</v>
      </c>
      <c r="G453" s="86">
        <f>37000-2500</f>
        <v>34500</v>
      </c>
      <c r="H453" s="86" t="s">
        <v>5</v>
      </c>
      <c r="I453" s="87" t="e">
        <f>IF(Paid[[#This Row],[Currency]]="USD",Paid[[#This Row],[Montant]],Paid[[#This Row],[Montant]]/VLOOKUP(Paid[[#This Row],[Date Paid]],TableCurrencyRate[#All],2,FALSE))</f>
        <v>#N/A</v>
      </c>
    </row>
    <row r="454" spans="2:9" x14ac:dyDescent="0.2">
      <c r="B454" s="82">
        <v>43839</v>
      </c>
      <c r="C454" s="83">
        <v>43837</v>
      </c>
      <c r="D454" s="84"/>
      <c r="E454" s="84" t="s">
        <v>263</v>
      </c>
      <c r="F454" s="85" t="s">
        <v>508</v>
      </c>
      <c r="G454" s="86">
        <f>226800-88500</f>
        <v>138300</v>
      </c>
      <c r="H454" s="86" t="s">
        <v>5</v>
      </c>
      <c r="I454" s="87" t="e">
        <f>IF(Paid[[#This Row],[Currency]]="USD",Paid[[#This Row],[Montant]],Paid[[#This Row],[Montant]]/VLOOKUP(Paid[[#This Row],[Date Paid]],TableCurrencyRate[#All],2,FALSE))</f>
        <v>#N/A</v>
      </c>
    </row>
    <row r="455" spans="2:9" x14ac:dyDescent="0.2">
      <c r="B455" s="82">
        <v>43839</v>
      </c>
      <c r="C455" s="83">
        <v>43472</v>
      </c>
      <c r="D455" s="84"/>
      <c r="E455" s="84"/>
      <c r="F455" s="85" t="s">
        <v>507</v>
      </c>
      <c r="G455" s="86">
        <f>175500-2650</f>
        <v>172850</v>
      </c>
      <c r="H455" s="86" t="s">
        <v>5</v>
      </c>
      <c r="I455" s="87" t="e">
        <f>IF(Paid[[#This Row],[Currency]]="USD",Paid[[#This Row],[Montant]],Paid[[#This Row],[Montant]]/VLOOKUP(Paid[[#This Row],[Date Paid]],TableCurrencyRate[#All],2,FALSE))</f>
        <v>#N/A</v>
      </c>
    </row>
    <row r="456" spans="2:9" x14ac:dyDescent="0.2">
      <c r="B456" s="82">
        <v>43839</v>
      </c>
      <c r="C456" s="83">
        <v>43472</v>
      </c>
      <c r="D456" s="84"/>
      <c r="E456" s="84"/>
      <c r="F456" s="85" t="s">
        <v>504</v>
      </c>
      <c r="G456" s="86">
        <f>32500-4600</f>
        <v>27900</v>
      </c>
      <c r="H456" s="86" t="s">
        <v>5</v>
      </c>
      <c r="I456" s="87" t="e">
        <f>IF(Paid[[#This Row],[Currency]]="USD",Paid[[#This Row],[Montant]],Paid[[#This Row],[Montant]]/VLOOKUP(Paid[[#This Row],[Date Paid]],TableCurrencyRate[#All],2,FALSE))</f>
        <v>#N/A</v>
      </c>
    </row>
    <row r="457" spans="2:9" x14ac:dyDescent="0.2">
      <c r="B457" s="82">
        <v>43839</v>
      </c>
      <c r="C457" s="83">
        <v>43468</v>
      </c>
      <c r="D457" s="84"/>
      <c r="E457" s="84"/>
      <c r="F457" s="85" t="s">
        <v>514</v>
      </c>
      <c r="G457" s="86">
        <f>596710-54246</f>
        <v>542464</v>
      </c>
      <c r="H457" s="86" t="s">
        <v>5</v>
      </c>
      <c r="I457" s="87" t="e">
        <f>IF(Paid[[#This Row],[Currency]]="USD",Paid[[#This Row],[Montant]],Paid[[#This Row],[Montant]]/VLOOKUP(Paid[[#This Row],[Date Paid]],TableCurrencyRate[#All],2,FALSE))</f>
        <v>#N/A</v>
      </c>
    </row>
    <row r="458" spans="2:9" x14ac:dyDescent="0.2">
      <c r="B458" s="82">
        <v>43839</v>
      </c>
      <c r="C458" s="83">
        <v>43816</v>
      </c>
      <c r="D458" s="84"/>
      <c r="E458" s="84"/>
      <c r="F458" s="85" t="s">
        <v>513</v>
      </c>
      <c r="G458" s="86">
        <f>22500+400</f>
        <v>22900</v>
      </c>
      <c r="H458" s="86" t="s">
        <v>5</v>
      </c>
      <c r="I458" s="87" t="e">
        <f>IF(Paid[[#This Row],[Currency]]="USD",Paid[[#This Row],[Montant]],Paid[[#This Row],[Montant]]/VLOOKUP(Paid[[#This Row],[Date Paid]],TableCurrencyRate[#All],2,FALSE))</f>
        <v>#N/A</v>
      </c>
    </row>
    <row r="459" spans="2:9" x14ac:dyDescent="0.2">
      <c r="B459" s="88">
        <v>43840</v>
      </c>
      <c r="C459" s="13">
        <v>43838</v>
      </c>
      <c r="D459" s="14"/>
      <c r="E459" s="14"/>
      <c r="F459" s="15" t="s">
        <v>562</v>
      </c>
      <c r="G459" s="80">
        <v>2196188</v>
      </c>
      <c r="H459" s="16" t="s">
        <v>5</v>
      </c>
      <c r="I459" s="87" t="e">
        <f>IF(Paid[[#This Row],[Currency]]="USD",Paid[[#This Row],[Montant]],Paid[[#This Row],[Montant]]/VLOOKUP(Paid[[#This Row],[Date Paid]],TableCurrencyRate[#All],2,FALSE))</f>
        <v>#N/A</v>
      </c>
    </row>
    <row r="460" spans="2:9" x14ac:dyDescent="0.2">
      <c r="B460" s="57">
        <v>43840</v>
      </c>
      <c r="C460" s="55">
        <v>43755</v>
      </c>
      <c r="D460" s="16" t="s">
        <v>255</v>
      </c>
      <c r="E460" s="16"/>
      <c r="F460" s="56" t="s">
        <v>323</v>
      </c>
      <c r="G460" s="21">
        <v>5355</v>
      </c>
      <c r="H460" s="16" t="s">
        <v>6</v>
      </c>
      <c r="I460" s="19">
        <f>IF(Paid[[#This Row],[Currency]]="USD",Paid[[#This Row],[Montant]],Paid[[#This Row],[Montant]]/VLOOKUP(Paid[[#This Row],[Date Paid]],TableCurrencyRate[#All],2,FALSE))</f>
        <v>5355</v>
      </c>
    </row>
    <row r="461" spans="2:9" x14ac:dyDescent="0.2">
      <c r="B461" s="88">
        <v>43841</v>
      </c>
      <c r="C461" s="13">
        <v>43839</v>
      </c>
      <c r="D461" s="14" t="s">
        <v>463</v>
      </c>
      <c r="E461" s="14" t="s">
        <v>532</v>
      </c>
      <c r="F461" s="15" t="s">
        <v>563</v>
      </c>
      <c r="G461" s="80">
        <v>280000</v>
      </c>
      <c r="H461" s="16" t="s">
        <v>5</v>
      </c>
      <c r="I461" s="87" t="e">
        <f>IF(Paid[[#This Row],[Currency]]="USD",Paid[[#This Row],[Montant]],Paid[[#This Row],[Montant]]/VLOOKUP(Paid[[#This Row],[Date Paid]],TableCurrencyRate[#All],2,FALSE))</f>
        <v>#N/A</v>
      </c>
    </row>
    <row r="462" spans="2:9" x14ac:dyDescent="0.2">
      <c r="B462" s="88">
        <v>43841</v>
      </c>
      <c r="C462" s="13">
        <v>43826</v>
      </c>
      <c r="D462" s="14" t="s">
        <v>463</v>
      </c>
      <c r="E462" s="14" t="s">
        <v>532</v>
      </c>
      <c r="F462" s="15" t="s">
        <v>533</v>
      </c>
      <c r="G462" s="21">
        <v>280000</v>
      </c>
      <c r="H462" s="16" t="s">
        <v>5</v>
      </c>
      <c r="I462" s="87" t="e">
        <f>IF(Paid[[#This Row],[Currency]]="USD",Paid[[#This Row],[Montant]],Paid[[#This Row],[Montant]]/VLOOKUP(Paid[[#This Row],[Date Paid]],TableCurrencyRate[#All],2,FALSE))</f>
        <v>#N/A</v>
      </c>
    </row>
    <row r="463" spans="2:9" x14ac:dyDescent="0.2">
      <c r="B463" s="91">
        <v>43841</v>
      </c>
      <c r="C463" s="13">
        <v>43840</v>
      </c>
      <c r="D463" s="14"/>
      <c r="E463" s="14"/>
      <c r="F463" s="15" t="s">
        <v>564</v>
      </c>
      <c r="G463" s="80">
        <v>52700</v>
      </c>
      <c r="H463" s="16" t="s">
        <v>5</v>
      </c>
      <c r="I463" s="96" t="e">
        <f>IF(Paid[[#This Row],[Currency]]="USD",Paid[[#This Row],[Montant]],Paid[[#This Row],[Montant]]/VLOOKUP(Paid[[#This Row],[Date Paid]],TableCurrencyRate[#All],2,FALSE))</f>
        <v>#N/A</v>
      </c>
    </row>
    <row r="464" spans="2:9" x14ac:dyDescent="0.2">
      <c r="B464" s="88">
        <v>43841</v>
      </c>
      <c r="C464" s="83">
        <v>43822</v>
      </c>
      <c r="D464" s="84"/>
      <c r="E464" s="84"/>
      <c r="F464" s="85" t="s">
        <v>518</v>
      </c>
      <c r="G464" s="86">
        <v>180000</v>
      </c>
      <c r="H464" s="86" t="s">
        <v>5</v>
      </c>
      <c r="I464" s="87" t="e">
        <f>IF(Paid[[#This Row],[Currency]]="USD",Paid[[#This Row],[Montant]],Paid[[#This Row],[Montant]]/VLOOKUP(Paid[[#This Row],[Date Paid]],TableCurrencyRate[#All],2,FALSE))</f>
        <v>#N/A</v>
      </c>
    </row>
    <row r="465" spans="2:9" x14ac:dyDescent="0.2">
      <c r="B465" s="88">
        <v>43841</v>
      </c>
      <c r="C465" s="83">
        <v>43829</v>
      </c>
      <c r="D465" s="84" t="s">
        <v>530</v>
      </c>
      <c r="E465" s="84"/>
      <c r="F465" s="85" t="s">
        <v>528</v>
      </c>
      <c r="G465" s="86">
        <v>14000</v>
      </c>
      <c r="H465" s="86" t="s">
        <v>5</v>
      </c>
      <c r="I465" s="87" t="e">
        <f>IF(Paid[[#This Row],[Currency]]="USD",Paid[[#This Row],[Montant]],Paid[[#This Row],[Montant]]/VLOOKUP(Paid[[#This Row],[Date Paid]],TableCurrencyRate[#All],2,FALSE))</f>
        <v>#N/A</v>
      </c>
    </row>
    <row r="466" spans="2:9" x14ac:dyDescent="0.2">
      <c r="B466" s="88">
        <v>43841</v>
      </c>
      <c r="C466" s="83">
        <v>43816</v>
      </c>
      <c r="D466" s="84"/>
      <c r="E466" s="84"/>
      <c r="F466" s="85" t="s">
        <v>535</v>
      </c>
      <c r="G466" s="86">
        <v>3000</v>
      </c>
      <c r="H466" s="86" t="s">
        <v>5</v>
      </c>
      <c r="I466" s="87" t="e">
        <f>IF(Paid[[#This Row],[Currency]]="USD",Paid[[#This Row],[Montant]],Paid[[#This Row],[Montant]]/VLOOKUP(Paid[[#This Row],[Date Paid]],TableCurrencyRate[#All],2,FALSE))</f>
        <v>#N/A</v>
      </c>
    </row>
    <row r="467" spans="2:9" x14ac:dyDescent="0.2">
      <c r="B467" s="88">
        <v>43841</v>
      </c>
      <c r="C467" s="83">
        <v>43812</v>
      </c>
      <c r="D467" s="84"/>
      <c r="E467" s="84"/>
      <c r="F467" s="85" t="s">
        <v>544</v>
      </c>
      <c r="G467" s="86">
        <v>202000</v>
      </c>
      <c r="H467" s="86" t="s">
        <v>5</v>
      </c>
      <c r="I467" s="87" t="e">
        <f>IF(Paid[[#This Row],[Currency]]="USD",Paid[[#This Row],[Montant]],Paid[[#This Row],[Montant]]/VLOOKUP(Paid[[#This Row],[Date Paid]],TableCurrencyRate[#All],2,FALSE))</f>
        <v>#N/A</v>
      </c>
    </row>
    <row r="468" spans="2:9" x14ac:dyDescent="0.2">
      <c r="B468" s="88">
        <v>43841</v>
      </c>
      <c r="C468" s="83">
        <v>43812</v>
      </c>
      <c r="D468" s="84"/>
      <c r="E468" s="84"/>
      <c r="F468" s="85" t="s">
        <v>545</v>
      </c>
      <c r="G468" s="86">
        <v>11000</v>
      </c>
      <c r="H468" s="86" t="s">
        <v>5</v>
      </c>
      <c r="I468" s="87" t="e">
        <f>IF(Paid[[#This Row],[Currency]]="USD",Paid[[#This Row],[Montant]],Paid[[#This Row],[Montant]]/VLOOKUP(Paid[[#This Row],[Date Paid]],TableCurrencyRate[#All],2,FALSE))</f>
        <v>#N/A</v>
      </c>
    </row>
    <row r="469" spans="2:9" x14ac:dyDescent="0.2">
      <c r="B469" s="88">
        <v>43841</v>
      </c>
      <c r="C469" s="83">
        <v>43812</v>
      </c>
      <c r="D469" s="84"/>
      <c r="E469" s="84"/>
      <c r="F469" s="85" t="s">
        <v>546</v>
      </c>
      <c r="G469" s="86">
        <v>110750</v>
      </c>
      <c r="H469" s="86" t="s">
        <v>5</v>
      </c>
      <c r="I469" s="87" t="e">
        <f>IF(Paid[[#This Row],[Currency]]="USD",Paid[[#This Row],[Montant]],Paid[[#This Row],[Montant]]/VLOOKUP(Paid[[#This Row],[Date Paid]],TableCurrencyRate[#All],2,FALSE))</f>
        <v>#N/A</v>
      </c>
    </row>
    <row r="470" spans="2:9" x14ac:dyDescent="0.2">
      <c r="B470" s="88">
        <v>43841</v>
      </c>
      <c r="C470" s="83">
        <v>43467</v>
      </c>
      <c r="D470" s="84"/>
      <c r="E470" s="84"/>
      <c r="F470" s="85" t="s">
        <v>521</v>
      </c>
      <c r="G470" s="86">
        <v>600000</v>
      </c>
      <c r="H470" s="86" t="s">
        <v>5</v>
      </c>
      <c r="I470" s="87" t="e">
        <f>IF(Paid[[#This Row],[Currency]]="USD",Paid[[#This Row],[Montant]],Paid[[#This Row],[Montant]]/VLOOKUP(Paid[[#This Row],[Date Paid]],TableCurrencyRate[#All],2,FALSE))</f>
        <v>#N/A</v>
      </c>
    </row>
    <row r="471" spans="2:9" x14ac:dyDescent="0.2">
      <c r="B471" s="88">
        <v>43841</v>
      </c>
      <c r="C471" s="83">
        <v>43467</v>
      </c>
      <c r="D471" s="84"/>
      <c r="E471" s="84"/>
      <c r="F471" s="85" t="s">
        <v>525</v>
      </c>
      <c r="G471" s="86">
        <v>620000</v>
      </c>
      <c r="H471" s="86" t="s">
        <v>5</v>
      </c>
      <c r="I471" s="87" t="e">
        <f>IF(Paid[[#This Row],[Currency]]="USD",Paid[[#This Row],[Montant]],Paid[[#This Row],[Montant]]/VLOOKUP(Paid[[#This Row],[Date Paid]],TableCurrencyRate[#All],2,FALSE))</f>
        <v>#N/A</v>
      </c>
    </row>
    <row r="472" spans="2:9" x14ac:dyDescent="0.2">
      <c r="B472" s="88">
        <v>43841</v>
      </c>
      <c r="C472" s="83">
        <v>43822</v>
      </c>
      <c r="D472" s="84"/>
      <c r="E472" s="84"/>
      <c r="F472" s="85" t="s">
        <v>536</v>
      </c>
      <c r="G472" s="86">
        <v>34000</v>
      </c>
      <c r="H472" s="86" t="s">
        <v>5</v>
      </c>
      <c r="I472" s="87" t="e">
        <f>IF(Paid[[#This Row],[Currency]]="USD",Paid[[#This Row],[Montant]],Paid[[#This Row],[Montant]]/VLOOKUP(Paid[[#This Row],[Date Paid]],TableCurrencyRate[#All],2,FALSE))</f>
        <v>#N/A</v>
      </c>
    </row>
    <row r="473" spans="2:9" x14ac:dyDescent="0.2">
      <c r="B473" s="88">
        <v>43841</v>
      </c>
      <c r="C473" s="83">
        <v>43822</v>
      </c>
      <c r="D473" s="84"/>
      <c r="E473" s="84"/>
      <c r="F473" s="85" t="s">
        <v>534</v>
      </c>
      <c r="G473" s="86">
        <v>27100</v>
      </c>
      <c r="H473" s="86" t="s">
        <v>5</v>
      </c>
      <c r="I473" s="87" t="e">
        <f>IF(Paid[[#This Row],[Currency]]="USD",Paid[[#This Row],[Montant]],Paid[[#This Row],[Montant]]/VLOOKUP(Paid[[#This Row],[Date Paid]],TableCurrencyRate[#All],2,FALSE))</f>
        <v>#N/A</v>
      </c>
    </row>
    <row r="474" spans="2:9" x14ac:dyDescent="0.2">
      <c r="B474" s="88">
        <v>43841</v>
      </c>
      <c r="C474" s="83">
        <v>43819</v>
      </c>
      <c r="D474" s="84"/>
      <c r="E474" s="84"/>
      <c r="F474" s="85" t="s">
        <v>538</v>
      </c>
      <c r="G474" s="86">
        <v>22500</v>
      </c>
      <c r="H474" s="86" t="s">
        <v>5</v>
      </c>
      <c r="I474" s="87" t="e">
        <f>IF(Paid[[#This Row],[Currency]]="USD",Paid[[#This Row],[Montant]],Paid[[#This Row],[Montant]]/VLOOKUP(Paid[[#This Row],[Date Paid]],TableCurrencyRate[#All],2,FALSE))</f>
        <v>#N/A</v>
      </c>
    </row>
    <row r="475" spans="2:9" x14ac:dyDescent="0.2">
      <c r="B475" s="88">
        <v>43841</v>
      </c>
      <c r="C475" s="83">
        <v>43819</v>
      </c>
      <c r="D475" s="84"/>
      <c r="E475" s="84"/>
      <c r="F475" s="85" t="s">
        <v>537</v>
      </c>
      <c r="G475" s="86">
        <v>19000</v>
      </c>
      <c r="H475" s="86" t="s">
        <v>5</v>
      </c>
      <c r="I475" s="87" t="e">
        <f>IF(Paid[[#This Row],[Currency]]="USD",Paid[[#This Row],[Montant]],Paid[[#This Row],[Montant]]/VLOOKUP(Paid[[#This Row],[Date Paid]],TableCurrencyRate[#All],2,FALSE))</f>
        <v>#N/A</v>
      </c>
    </row>
    <row r="476" spans="2:9" x14ac:dyDescent="0.2">
      <c r="B476" s="88">
        <v>43841</v>
      </c>
      <c r="C476" s="83">
        <v>43840</v>
      </c>
      <c r="D476" s="84"/>
      <c r="E476" s="84"/>
      <c r="F476" s="85" t="s">
        <v>560</v>
      </c>
      <c r="G476" s="86">
        <f>420000-149000</f>
        <v>271000</v>
      </c>
      <c r="H476" s="86" t="s">
        <v>5</v>
      </c>
      <c r="I476" s="87" t="e">
        <f>IF(Paid[[#This Row],[Currency]]="USD",Paid[[#This Row],[Montant]],Paid[[#This Row],[Montant]]/VLOOKUP(Paid[[#This Row],[Date Paid]],TableCurrencyRate[#All],2,FALSE))</f>
        <v>#N/A</v>
      </c>
    </row>
    <row r="477" spans="2:9" x14ac:dyDescent="0.2">
      <c r="B477" s="88">
        <v>43843</v>
      </c>
      <c r="C477" s="13">
        <v>43814</v>
      </c>
      <c r="D477" s="14" t="s">
        <v>9</v>
      </c>
      <c r="E477" s="14" t="s">
        <v>366</v>
      </c>
      <c r="F477" s="15" t="s">
        <v>452</v>
      </c>
      <c r="G477" s="21">
        <v>67.2</v>
      </c>
      <c r="H477" s="16" t="s">
        <v>6</v>
      </c>
      <c r="I477" s="87">
        <f>IF(Paid[[#This Row],[Currency]]="USD",Paid[[#This Row],[Montant]],Paid[[#This Row],[Montant]]/VLOOKUP(Paid[[#This Row],[Date Paid]],TableCurrencyRate[#All],2,FALSE))</f>
        <v>67.2</v>
      </c>
    </row>
    <row r="478" spans="2:9" x14ac:dyDescent="0.2">
      <c r="B478" s="88">
        <v>43843</v>
      </c>
      <c r="C478" s="13">
        <v>43821</v>
      </c>
      <c r="D478" s="14" t="s">
        <v>9</v>
      </c>
      <c r="E478" s="14" t="s">
        <v>366</v>
      </c>
      <c r="F478" s="15" t="s">
        <v>452</v>
      </c>
      <c r="G478" s="21">
        <v>523.53</v>
      </c>
      <c r="H478" s="16" t="s">
        <v>6</v>
      </c>
      <c r="I478" s="87">
        <f>IF(Paid[[#This Row],[Currency]]="USD",Paid[[#This Row],[Montant]],Paid[[#This Row],[Montant]]/VLOOKUP(Paid[[#This Row],[Date Paid]],TableCurrencyRate[#All],2,FALSE))</f>
        <v>523.53</v>
      </c>
    </row>
    <row r="479" spans="2:9" x14ac:dyDescent="0.2">
      <c r="B479" s="88">
        <v>43843</v>
      </c>
      <c r="C479" s="83">
        <v>43824</v>
      </c>
      <c r="D479" s="84" t="s">
        <v>9</v>
      </c>
      <c r="E479" s="84" t="s">
        <v>366</v>
      </c>
      <c r="F479" s="85" t="s">
        <v>452</v>
      </c>
      <c r="G479" s="86">
        <v>16.8</v>
      </c>
      <c r="H479" s="86" t="s">
        <v>6</v>
      </c>
      <c r="I479" s="87">
        <f>IF(Paid[[#This Row],[Currency]]="USD",Paid[[#This Row],[Montant]],Paid[[#This Row],[Montant]]/VLOOKUP(Paid[[#This Row],[Date Paid]],TableCurrencyRate[#All],2,FALSE))</f>
        <v>16.8</v>
      </c>
    </row>
    <row r="480" spans="2:9" x14ac:dyDescent="0.2">
      <c r="B480" s="88">
        <v>43843</v>
      </c>
      <c r="C480" s="83">
        <v>43467</v>
      </c>
      <c r="D480" s="84" t="s">
        <v>9</v>
      </c>
      <c r="E480" s="84" t="s">
        <v>366</v>
      </c>
      <c r="F480" s="85" t="s">
        <v>452</v>
      </c>
      <c r="G480" s="86">
        <v>39.43</v>
      </c>
      <c r="H480" s="86" t="s">
        <v>6</v>
      </c>
      <c r="I480" s="87">
        <f>IF(Paid[[#This Row],[Currency]]="USD",Paid[[#This Row],[Montant]],Paid[[#This Row],[Montant]]/VLOOKUP(Paid[[#This Row],[Date Paid]],TableCurrencyRate[#All],2,FALSE))</f>
        <v>39.43</v>
      </c>
    </row>
    <row r="481" spans="2:9" x14ac:dyDescent="0.2">
      <c r="B481" s="88">
        <v>43843</v>
      </c>
      <c r="C481" s="83">
        <v>43589</v>
      </c>
      <c r="D481" s="84" t="s">
        <v>46</v>
      </c>
      <c r="E481" s="84"/>
      <c r="F481" s="85" t="s">
        <v>55</v>
      </c>
      <c r="G481" s="86">
        <v>156</v>
      </c>
      <c r="H481" s="86" t="s">
        <v>6</v>
      </c>
      <c r="I481" s="87">
        <f>IF(Paid[[#This Row],[Currency]]="USD",Paid[[#This Row],[Montant]],Paid[[#This Row],[Montant]]/VLOOKUP(Paid[[#This Row],[Date Paid]],TableCurrencyRate[#All],2,FALSE))</f>
        <v>156</v>
      </c>
    </row>
    <row r="482" spans="2:9" x14ac:dyDescent="0.2">
      <c r="B482" s="88">
        <v>43843</v>
      </c>
      <c r="C482" s="83">
        <v>43467</v>
      </c>
      <c r="D482" s="84"/>
      <c r="E482" s="84"/>
      <c r="F482" s="85" t="s">
        <v>526</v>
      </c>
      <c r="G482" s="86">
        <v>877.14</v>
      </c>
      <c r="H482" s="86" t="s">
        <v>6</v>
      </c>
      <c r="I482" s="87">
        <f>IF(Paid[[#This Row],[Currency]]="USD",Paid[[#This Row],[Montant]],Paid[[#This Row],[Montant]]/VLOOKUP(Paid[[#This Row],[Date Paid]],TableCurrencyRate[#All],2,FALSE))</f>
        <v>877.14</v>
      </c>
    </row>
    <row r="483" spans="2:9" x14ac:dyDescent="0.2">
      <c r="B483" s="88">
        <v>43843</v>
      </c>
      <c r="C483" s="83">
        <v>43474</v>
      </c>
      <c r="D483" s="84"/>
      <c r="E483" s="84"/>
      <c r="F483" s="85" t="s">
        <v>561</v>
      </c>
      <c r="G483" s="86">
        <v>704500</v>
      </c>
      <c r="H483" s="86" t="s">
        <v>5</v>
      </c>
      <c r="I483" s="87" t="e">
        <f>IF(Paid[[#This Row],[Currency]]="USD",Paid[[#This Row],[Montant]],Paid[[#This Row],[Montant]]/VLOOKUP(Paid[[#This Row],[Date Paid]],TableCurrencyRate[#All],2,FALSE))</f>
        <v>#N/A</v>
      </c>
    </row>
    <row r="484" spans="2:9" x14ac:dyDescent="0.2">
      <c r="B484" s="88">
        <v>43845</v>
      </c>
      <c r="C484" s="13">
        <v>43467</v>
      </c>
      <c r="D484" s="14"/>
      <c r="E484" s="14"/>
      <c r="F484" s="15" t="s">
        <v>523</v>
      </c>
      <c r="G484" s="21">
        <v>700000</v>
      </c>
      <c r="H484" s="16" t="s">
        <v>5</v>
      </c>
      <c r="I484" s="87" t="e">
        <f>IF(Paid[[#This Row],[Currency]]="USD",Paid[[#This Row],[Montant]],Paid[[#This Row],[Montant]]/VLOOKUP(Paid[[#This Row],[Date Paid]],TableCurrencyRate[#All],2,FALSE))</f>
        <v>#N/A</v>
      </c>
    </row>
    <row r="485" spans="2:9" x14ac:dyDescent="0.2">
      <c r="B485" s="88">
        <v>43845</v>
      </c>
      <c r="C485" s="13">
        <v>43467</v>
      </c>
      <c r="D485" s="14"/>
      <c r="E485" s="14"/>
      <c r="F485" s="15" t="s">
        <v>524</v>
      </c>
      <c r="G485" s="21">
        <v>700000</v>
      </c>
      <c r="H485" s="16" t="s">
        <v>5</v>
      </c>
      <c r="I485" s="87" t="e">
        <f>IF(Paid[[#This Row],[Currency]]="USD",Paid[[#This Row],[Montant]],Paid[[#This Row],[Montant]]/VLOOKUP(Paid[[#This Row],[Date Paid]],TableCurrencyRate[#All],2,FALSE))</f>
        <v>#N/A</v>
      </c>
    </row>
    <row r="486" spans="2:9" x14ac:dyDescent="0.2">
      <c r="B486" s="88">
        <v>43845</v>
      </c>
      <c r="C486" s="83">
        <v>43467</v>
      </c>
      <c r="D486" s="84"/>
      <c r="E486" s="84"/>
      <c r="F486" s="85" t="s">
        <v>522</v>
      </c>
      <c r="G486" s="86">
        <v>800000</v>
      </c>
      <c r="H486" s="86" t="s">
        <v>5</v>
      </c>
      <c r="I486" s="87" t="e">
        <f>IF(Paid[[#This Row],[Currency]]="USD",Paid[[#This Row],[Montant]],Paid[[#This Row],[Montant]]/VLOOKUP(Paid[[#This Row],[Date Paid]],TableCurrencyRate[#All],2,FALSE))</f>
        <v>#N/A</v>
      </c>
    </row>
    <row r="487" spans="2:9" x14ac:dyDescent="0.2">
      <c r="B487" s="88">
        <v>43846</v>
      </c>
      <c r="C487" s="13">
        <v>43825</v>
      </c>
      <c r="D487" s="14" t="s">
        <v>279</v>
      </c>
      <c r="E487" s="14" t="s">
        <v>233</v>
      </c>
      <c r="F487" s="15" t="s">
        <v>540</v>
      </c>
      <c r="G487" s="21">
        <v>153340</v>
      </c>
      <c r="H487" s="16" t="s">
        <v>5</v>
      </c>
      <c r="I487" s="87" t="e">
        <f>IF(Paid[[#This Row],[Currency]]="USD",Paid[[#This Row],[Montant]],Paid[[#This Row],[Montant]]/VLOOKUP(Paid[[#This Row],[Date Paid]],TableCurrencyRate[#All],2,FALSE))</f>
        <v>#N/A</v>
      </c>
    </row>
    <row r="488" spans="2:9" x14ac:dyDescent="0.2">
      <c r="B488" s="88">
        <v>43846</v>
      </c>
      <c r="C488" s="13">
        <v>43825</v>
      </c>
      <c r="D488" s="14" t="s">
        <v>279</v>
      </c>
      <c r="E488" s="14" t="s">
        <v>263</v>
      </c>
      <c r="F488" s="15" t="s">
        <v>531</v>
      </c>
      <c r="G488" s="21">
        <v>153000</v>
      </c>
      <c r="H488" s="16" t="s">
        <v>5</v>
      </c>
      <c r="I488" s="87" t="e">
        <f>IF(Paid[[#This Row],[Currency]]="USD",Paid[[#This Row],[Montant]],Paid[[#This Row],[Montant]]/VLOOKUP(Paid[[#This Row],[Date Paid]],TableCurrencyRate[#All],2,FALSE))</f>
        <v>#N/A</v>
      </c>
    </row>
    <row r="489" spans="2:9" x14ac:dyDescent="0.2">
      <c r="B489" s="88">
        <v>43846</v>
      </c>
      <c r="C489" s="83">
        <v>43804</v>
      </c>
      <c r="D489" s="84" t="s">
        <v>279</v>
      </c>
      <c r="E489" s="84" t="s">
        <v>541</v>
      </c>
      <c r="F489" s="85" t="s">
        <v>543</v>
      </c>
      <c r="G489" s="86">
        <v>612000</v>
      </c>
      <c r="H489" s="86" t="s">
        <v>5</v>
      </c>
      <c r="I489" s="87" t="e">
        <f>IF(Paid[[#This Row],[Currency]]="USD",Paid[[#This Row],[Montant]],Paid[[#This Row],[Montant]]/VLOOKUP(Paid[[#This Row],[Date Paid]],TableCurrencyRate[#All],2,FALSE))</f>
        <v>#N/A</v>
      </c>
    </row>
    <row r="490" spans="2:9" x14ac:dyDescent="0.2">
      <c r="B490" s="88">
        <v>43846</v>
      </c>
      <c r="C490" s="13">
        <v>43841</v>
      </c>
      <c r="D490" s="14"/>
      <c r="E490" s="14"/>
      <c r="F490" s="15" t="s">
        <v>579</v>
      </c>
      <c r="G490" s="89">
        <f>70000-7800</f>
        <v>62200</v>
      </c>
      <c r="H490" s="16" t="s">
        <v>5</v>
      </c>
      <c r="I490" s="87" t="e">
        <f>IF(Paid[[#This Row],[Currency]]="USD",Paid[[#This Row],[Montant]],Paid[[#This Row],[Montant]]/VLOOKUP(Paid[[#This Row],[Date Paid]],TableCurrencyRate[#All],2,FALSE))</f>
        <v>#N/A</v>
      </c>
    </row>
    <row r="491" spans="2:9" x14ac:dyDescent="0.2">
      <c r="B491" s="88">
        <v>43846</v>
      </c>
      <c r="C491" s="83">
        <v>43845</v>
      </c>
      <c r="D491" s="84"/>
      <c r="E491" s="10" t="s">
        <v>233</v>
      </c>
      <c r="F491" s="11" t="s">
        <v>581</v>
      </c>
      <c r="G491" s="86">
        <v>72000</v>
      </c>
      <c r="H491" s="18" t="s">
        <v>5</v>
      </c>
      <c r="I491" s="87" t="e">
        <f>IF(Paid[[#This Row],[Currency]]="USD",Paid[[#This Row],[Montant]],Paid[[#This Row],[Montant]]/VLOOKUP(Paid[[#This Row],[Date Paid]],TableCurrencyRate[#All],2,FALSE))</f>
        <v>#N/A</v>
      </c>
    </row>
    <row r="492" spans="2:9" x14ac:dyDescent="0.2">
      <c r="B492" s="88">
        <v>43846</v>
      </c>
      <c r="C492" s="83">
        <v>43845</v>
      </c>
      <c r="D492" s="84"/>
      <c r="E492" s="84"/>
      <c r="F492" s="11" t="s">
        <v>582</v>
      </c>
      <c r="G492" s="86">
        <v>14400</v>
      </c>
      <c r="H492" s="18" t="s">
        <v>5</v>
      </c>
      <c r="I492" s="87" t="e">
        <f>IF(Paid[[#This Row],[Currency]]="USD",Paid[[#This Row],[Montant]],Paid[[#This Row],[Montant]]/VLOOKUP(Paid[[#This Row],[Date Paid]],TableCurrencyRate[#All],2,FALSE))</f>
        <v>#N/A</v>
      </c>
    </row>
    <row r="493" spans="2:9" x14ac:dyDescent="0.2">
      <c r="B493" s="88">
        <v>43846</v>
      </c>
      <c r="C493" s="83">
        <v>43840</v>
      </c>
      <c r="D493" s="84"/>
      <c r="E493" s="84"/>
      <c r="F493" s="85" t="s">
        <v>580</v>
      </c>
      <c r="G493" s="86">
        <v>7500</v>
      </c>
      <c r="H493" s="86" t="s">
        <v>5</v>
      </c>
      <c r="I493" s="87" t="e">
        <f>IF(Paid[[#This Row],[Currency]]="USD",Paid[[#This Row],[Montant]],Paid[[#This Row],[Montant]]/VLOOKUP(Paid[[#This Row],[Date Paid]],TableCurrencyRate[#All],2,FALSE))</f>
        <v>#N/A</v>
      </c>
    </row>
    <row r="494" spans="2:9" x14ac:dyDescent="0.2">
      <c r="B494" s="88">
        <v>43846</v>
      </c>
      <c r="C494" s="13">
        <v>43843</v>
      </c>
      <c r="D494" s="14"/>
      <c r="E494" s="14"/>
      <c r="F494" s="15" t="s">
        <v>578</v>
      </c>
      <c r="G494" s="89">
        <v>10000</v>
      </c>
      <c r="H494" s="16" t="s">
        <v>5</v>
      </c>
      <c r="I494" s="87" t="e">
        <f>IF(Paid[[#This Row],[Currency]]="USD",Paid[[#This Row],[Montant]],Paid[[#This Row],[Montant]]/VLOOKUP(Paid[[#This Row],[Date Paid]],TableCurrencyRate[#All],2,FALSE))</f>
        <v>#N/A</v>
      </c>
    </row>
    <row r="495" spans="2:9" x14ac:dyDescent="0.2">
      <c r="B495" s="88">
        <v>43846</v>
      </c>
      <c r="C495" s="13">
        <v>43467</v>
      </c>
      <c r="D495" s="14"/>
      <c r="E495" s="14"/>
      <c r="F495" s="15" t="s">
        <v>527</v>
      </c>
      <c r="G495" s="21">
        <v>748200</v>
      </c>
      <c r="H495" s="16" t="s">
        <v>5</v>
      </c>
      <c r="I495" s="87" t="e">
        <f>IF(Paid[[#This Row],[Currency]]="USD",Paid[[#This Row],[Montant]],Paid[[#This Row],[Montant]]/VLOOKUP(Paid[[#This Row],[Date Paid]],TableCurrencyRate[#All],2,FALSE))</f>
        <v>#N/A</v>
      </c>
    </row>
    <row r="496" spans="2:9" x14ac:dyDescent="0.2">
      <c r="B496" s="88">
        <v>43846</v>
      </c>
      <c r="C496" s="83">
        <v>43771</v>
      </c>
      <c r="D496" s="84"/>
      <c r="E496" s="84"/>
      <c r="F496" s="85" t="s">
        <v>539</v>
      </c>
      <c r="G496" s="86">
        <v>42000</v>
      </c>
      <c r="H496" s="86" t="s">
        <v>5</v>
      </c>
      <c r="I496" s="87" t="e">
        <f>IF(Paid[[#This Row],[Currency]]="USD",Paid[[#This Row],[Montant]],Paid[[#This Row],[Montant]]/VLOOKUP(Paid[[#This Row],[Date Paid]],TableCurrencyRate[#All],2,FALSE))</f>
        <v>#N/A</v>
      </c>
    </row>
    <row r="497" spans="2:9" x14ac:dyDescent="0.2">
      <c r="B497" s="88">
        <v>43846</v>
      </c>
      <c r="C497" s="83">
        <v>43819</v>
      </c>
      <c r="D497" s="84" t="s">
        <v>279</v>
      </c>
      <c r="E497" s="84" t="s">
        <v>233</v>
      </c>
      <c r="F497" s="85" t="s">
        <v>462</v>
      </c>
      <c r="G497" s="86">
        <v>499800</v>
      </c>
      <c r="H497" s="86" t="s">
        <v>5</v>
      </c>
      <c r="I497" s="87" t="e">
        <f>IF(Paid[[#This Row],[Currency]]="USD",Paid[[#This Row],[Montant]],Paid[[#This Row],[Montant]]/VLOOKUP(Paid[[#This Row],[Date Paid]],TableCurrencyRate[#All],2,FALSE))</f>
        <v>#N/A</v>
      </c>
    </row>
    <row r="498" spans="2:9" x14ac:dyDescent="0.2">
      <c r="B498" s="88">
        <v>43846</v>
      </c>
      <c r="C498" s="83">
        <v>43845</v>
      </c>
      <c r="D498" s="84"/>
      <c r="E498" s="84" t="s">
        <v>577</v>
      </c>
      <c r="F498" s="85" t="s">
        <v>576</v>
      </c>
      <c r="G498" s="86">
        <f>52500-8500</f>
        <v>44000</v>
      </c>
      <c r="H498" s="86" t="s">
        <v>5</v>
      </c>
      <c r="I498" s="87" t="e">
        <f>IF(Paid[[#This Row],[Currency]]="USD",Paid[[#This Row],[Montant]],Paid[[#This Row],[Montant]]/VLOOKUP(Paid[[#This Row],[Date Paid]],TableCurrencyRate[#All],2,FALSE))</f>
        <v>#N/A</v>
      </c>
    </row>
    <row r="499" spans="2:9" x14ac:dyDescent="0.2">
      <c r="B499" s="97">
        <v>43847</v>
      </c>
      <c r="C499" s="13">
        <v>43790</v>
      </c>
      <c r="D499" s="14" t="s">
        <v>279</v>
      </c>
      <c r="E499" s="14" t="s">
        <v>541</v>
      </c>
      <c r="F499" s="15" t="s">
        <v>542</v>
      </c>
      <c r="G499" s="21">
        <v>476000</v>
      </c>
      <c r="H499" s="16" t="s">
        <v>5</v>
      </c>
      <c r="I499" s="96" t="e">
        <f>IF(Paid[[#This Row],[Currency]]="USD",Paid[[#This Row],[Montant]],Paid[[#This Row],[Montant]]/VLOOKUP(Paid[[#This Row],[Date Paid]],TableCurrencyRate[#All],2,FALSE))</f>
        <v>#N/A</v>
      </c>
    </row>
    <row r="500" spans="2:9" x14ac:dyDescent="0.2">
      <c r="B500" s="91">
        <v>43847</v>
      </c>
      <c r="C500" s="13">
        <v>43793</v>
      </c>
      <c r="D500" s="14" t="s">
        <v>279</v>
      </c>
      <c r="E500" s="14" t="s">
        <v>541</v>
      </c>
      <c r="F500" s="15" t="s">
        <v>542</v>
      </c>
      <c r="G500" s="21">
        <v>1479000</v>
      </c>
      <c r="H500" s="16" t="s">
        <v>5</v>
      </c>
      <c r="I500" s="96" t="e">
        <f>IF(Paid[[#This Row],[Currency]]="USD",Paid[[#This Row],[Montant]],Paid[[#This Row],[Montant]]/VLOOKUP(Paid[[#This Row],[Date Paid]],TableCurrencyRate[#All],2,FALSE))</f>
        <v>#N/A</v>
      </c>
    </row>
    <row r="501" spans="2:9" x14ac:dyDescent="0.2">
      <c r="B501" s="97">
        <v>43847</v>
      </c>
      <c r="C501" s="92">
        <v>43846</v>
      </c>
      <c r="D501" s="93"/>
      <c r="E501" s="93"/>
      <c r="F501" s="94" t="s">
        <v>594</v>
      </c>
      <c r="G501" s="95">
        <v>112400</v>
      </c>
      <c r="H501" s="95" t="s">
        <v>5</v>
      </c>
      <c r="I501" s="96" t="e">
        <f>IF(Paid[[#This Row],[Currency]]="USD",Paid[[#This Row],[Montant]],Paid[[#This Row],[Montant]]/VLOOKUP(Paid[[#This Row],[Date Paid]],TableCurrencyRate[#All],2,FALSE))</f>
        <v>#N/A</v>
      </c>
    </row>
    <row r="502" spans="2:9" x14ac:dyDescent="0.2">
      <c r="B502" s="91">
        <v>43847</v>
      </c>
      <c r="C502" s="92">
        <v>43846</v>
      </c>
      <c r="D502" s="93"/>
      <c r="E502" s="93" t="s">
        <v>233</v>
      </c>
      <c r="F502" s="94" t="s">
        <v>592</v>
      </c>
      <c r="G502" s="95">
        <f>88900-47750</f>
        <v>41150</v>
      </c>
      <c r="H502" s="95" t="s">
        <v>5</v>
      </c>
      <c r="I502" s="96" t="e">
        <f>IF(Paid[[#This Row],[Currency]]="USD",Paid[[#This Row],[Montant]],Paid[[#This Row],[Montant]]/VLOOKUP(Paid[[#This Row],[Date Paid]],TableCurrencyRate[#All],2,FALSE))</f>
        <v>#N/A</v>
      </c>
    </row>
    <row r="503" spans="2:9" x14ac:dyDescent="0.2">
      <c r="B503" s="97">
        <v>43847</v>
      </c>
      <c r="C503" s="92">
        <v>43847</v>
      </c>
      <c r="D503" s="93"/>
      <c r="E503" s="93" t="s">
        <v>586</v>
      </c>
      <c r="F503" s="94" t="s">
        <v>587</v>
      </c>
      <c r="G503" s="95">
        <v>550000</v>
      </c>
      <c r="H503" s="95" t="s">
        <v>5</v>
      </c>
      <c r="I503" s="96" t="e">
        <f>IF(Paid[[#This Row],[Currency]]="USD",Paid[[#This Row],[Montant]],Paid[[#This Row],[Montant]]/VLOOKUP(Paid[[#This Row],[Date Paid]],TableCurrencyRate[#All],2,FALSE))</f>
        <v>#N/A</v>
      </c>
    </row>
    <row r="504" spans="2:9" x14ac:dyDescent="0.2">
      <c r="B504" s="91">
        <v>43847</v>
      </c>
      <c r="C504" s="92">
        <v>43847</v>
      </c>
      <c r="D504" s="93"/>
      <c r="E504" s="93" t="s">
        <v>586</v>
      </c>
      <c r="F504" s="94" t="s">
        <v>585</v>
      </c>
      <c r="G504" s="95">
        <f>1140000-28000</f>
        <v>1112000</v>
      </c>
      <c r="H504" s="95" t="s">
        <v>5</v>
      </c>
      <c r="I504" s="96" t="e">
        <f>IF(Paid[[#This Row],[Currency]]="USD",Paid[[#This Row],[Montant]],Paid[[#This Row],[Montant]]/VLOOKUP(Paid[[#This Row],[Date Paid]],TableCurrencyRate[#All],2,FALSE))</f>
        <v>#N/A</v>
      </c>
    </row>
    <row r="505" spans="2:9" x14ac:dyDescent="0.2">
      <c r="B505" s="97">
        <v>43847</v>
      </c>
      <c r="C505" s="92">
        <v>43847</v>
      </c>
      <c r="D505" s="93"/>
      <c r="E505" s="93" t="s">
        <v>586</v>
      </c>
      <c r="F505" s="94" t="s">
        <v>588</v>
      </c>
      <c r="G505" s="95">
        <f>86400-5300</f>
        <v>81100</v>
      </c>
      <c r="H505" s="95" t="s">
        <v>5</v>
      </c>
      <c r="I505" s="96" t="e">
        <f>IF(Paid[[#This Row],[Currency]]="USD",Paid[[#This Row],[Montant]],Paid[[#This Row],[Montant]]/VLOOKUP(Paid[[#This Row],[Date Paid]],TableCurrencyRate[#All],2,FALSE))</f>
        <v>#N/A</v>
      </c>
    </row>
    <row r="506" spans="2:9" x14ac:dyDescent="0.2">
      <c r="B506" s="91">
        <v>43847</v>
      </c>
      <c r="C506" s="92">
        <v>43801</v>
      </c>
      <c r="D506" s="93"/>
      <c r="E506" s="93"/>
      <c r="F506" s="94" t="s">
        <v>471</v>
      </c>
      <c r="G506" s="95">
        <v>33500</v>
      </c>
      <c r="H506" s="95" t="s">
        <v>5</v>
      </c>
      <c r="I506" s="96" t="e">
        <f>IF(Paid[[#This Row],[Currency]]="USD",Paid[[#This Row],[Montant]],Paid[[#This Row],[Montant]]/VLOOKUP(Paid[[#This Row],[Date Paid]],TableCurrencyRate[#All],2,FALSE))</f>
        <v>#N/A</v>
      </c>
    </row>
    <row r="507" spans="2:9" x14ac:dyDescent="0.2">
      <c r="B507" s="97">
        <v>43847</v>
      </c>
      <c r="C507" s="92">
        <v>43841</v>
      </c>
      <c r="D507" s="93"/>
      <c r="E507" s="93"/>
      <c r="F507" s="94" t="s">
        <v>598</v>
      </c>
      <c r="G507" s="95">
        <v>36300</v>
      </c>
      <c r="H507" s="95" t="s">
        <v>5</v>
      </c>
      <c r="I507" s="96" t="e">
        <f>IF(Paid[[#This Row],[Currency]]="USD",Paid[[#This Row],[Montant]],Paid[[#This Row],[Montant]]/VLOOKUP(Paid[[#This Row],[Date Paid]],TableCurrencyRate[#All],2,FALSE))</f>
        <v>#N/A</v>
      </c>
    </row>
    <row r="508" spans="2:9" x14ac:dyDescent="0.2">
      <c r="B508" s="91">
        <v>43847</v>
      </c>
      <c r="C508" s="92">
        <v>43801</v>
      </c>
      <c r="D508" s="93"/>
      <c r="E508" s="93"/>
      <c r="F508" s="94" t="s">
        <v>466</v>
      </c>
      <c r="G508" s="95">
        <v>27500</v>
      </c>
      <c r="H508" s="95" t="s">
        <v>5</v>
      </c>
      <c r="I508" s="96" t="e">
        <f>IF(Paid[[#This Row],[Currency]]="USD",Paid[[#This Row],[Montant]],Paid[[#This Row],[Montant]]/VLOOKUP(Paid[[#This Row],[Date Paid]],TableCurrencyRate[#All],2,FALSE))</f>
        <v>#N/A</v>
      </c>
    </row>
    <row r="509" spans="2:9" x14ac:dyDescent="0.2">
      <c r="B509" s="97">
        <v>43847</v>
      </c>
      <c r="C509" s="92">
        <v>43829</v>
      </c>
      <c r="D509" s="93"/>
      <c r="E509" s="93"/>
      <c r="F509" s="94" t="s">
        <v>515</v>
      </c>
      <c r="G509" s="95">
        <v>31800</v>
      </c>
      <c r="H509" s="95" t="s">
        <v>5</v>
      </c>
      <c r="I509" s="96" t="e">
        <f>IF(Paid[[#This Row],[Currency]]="USD",Paid[[#This Row],[Montant]],Paid[[#This Row],[Montant]]/VLOOKUP(Paid[[#This Row],[Date Paid]],TableCurrencyRate[#All],2,FALSE))</f>
        <v>#N/A</v>
      </c>
    </row>
    <row r="510" spans="2:9" x14ac:dyDescent="0.2">
      <c r="B510" s="91">
        <v>43847</v>
      </c>
      <c r="C510" s="92">
        <v>43808</v>
      </c>
      <c r="D510" s="93"/>
      <c r="E510" s="93"/>
      <c r="F510" s="94" t="s">
        <v>469</v>
      </c>
      <c r="G510" s="95">
        <v>39000</v>
      </c>
      <c r="H510" s="95" t="s">
        <v>5</v>
      </c>
      <c r="I510" s="96" t="e">
        <f>IF(Paid[[#This Row],[Currency]]="USD",Paid[[#This Row],[Montant]],Paid[[#This Row],[Montant]]/VLOOKUP(Paid[[#This Row],[Date Paid]],TableCurrencyRate[#All],2,FALSE))</f>
        <v>#N/A</v>
      </c>
    </row>
    <row r="511" spans="2:9" x14ac:dyDescent="0.2">
      <c r="B511" s="97">
        <v>43847</v>
      </c>
      <c r="C511" s="92">
        <v>43811</v>
      </c>
      <c r="D511" s="93"/>
      <c r="E511" s="93"/>
      <c r="F511" s="94" t="s">
        <v>556</v>
      </c>
      <c r="G511" s="95">
        <v>33000</v>
      </c>
      <c r="H511" s="95" t="s">
        <v>5</v>
      </c>
      <c r="I511" s="96" t="e">
        <f>IF(Paid[[#This Row],[Currency]]="USD",Paid[[#This Row],[Montant]],Paid[[#This Row],[Montant]]/VLOOKUP(Paid[[#This Row],[Date Paid]],TableCurrencyRate[#All],2,FALSE))</f>
        <v>#N/A</v>
      </c>
    </row>
    <row r="512" spans="2:9" x14ac:dyDescent="0.2">
      <c r="B512" s="91">
        <v>43847</v>
      </c>
      <c r="C512" s="92">
        <v>43812</v>
      </c>
      <c r="D512" s="93"/>
      <c r="E512" s="93"/>
      <c r="F512" s="94" t="s">
        <v>555</v>
      </c>
      <c r="G512" s="95">
        <v>35000</v>
      </c>
      <c r="H512" s="95" t="s">
        <v>5</v>
      </c>
      <c r="I512" s="96" t="e">
        <f>IF(Paid[[#This Row],[Currency]]="USD",Paid[[#This Row],[Montant]],Paid[[#This Row],[Montant]]/VLOOKUP(Paid[[#This Row],[Date Paid]],TableCurrencyRate[#All],2,FALSE))</f>
        <v>#N/A</v>
      </c>
    </row>
    <row r="513" spans="2:9" x14ac:dyDescent="0.2">
      <c r="B513" s="97">
        <v>43847</v>
      </c>
      <c r="C513" s="92">
        <v>43805</v>
      </c>
      <c r="D513" s="93"/>
      <c r="E513" s="93"/>
      <c r="F513" s="94" t="s">
        <v>554</v>
      </c>
      <c r="G513" s="95">
        <v>34000</v>
      </c>
      <c r="H513" s="95" t="s">
        <v>5</v>
      </c>
      <c r="I513" s="96" t="e">
        <f>IF(Paid[[#This Row],[Currency]]="USD",Paid[[#This Row],[Montant]],Paid[[#This Row],[Montant]]/VLOOKUP(Paid[[#This Row],[Date Paid]],TableCurrencyRate[#All],2,FALSE))</f>
        <v>#N/A</v>
      </c>
    </row>
    <row r="514" spans="2:9" x14ac:dyDescent="0.2">
      <c r="B514" s="91">
        <v>43847</v>
      </c>
      <c r="C514" s="92">
        <v>43805</v>
      </c>
      <c r="D514" s="93"/>
      <c r="E514" s="93"/>
      <c r="F514" s="94" t="s">
        <v>468</v>
      </c>
      <c r="G514" s="95">
        <v>39000</v>
      </c>
      <c r="H514" s="95" t="s">
        <v>5</v>
      </c>
      <c r="I514" s="96" t="e">
        <f>IF(Paid[[#This Row],[Currency]]="USD",Paid[[#This Row],[Montant]],Paid[[#This Row],[Montant]]/VLOOKUP(Paid[[#This Row],[Date Paid]],TableCurrencyRate[#All],2,FALSE))</f>
        <v>#N/A</v>
      </c>
    </row>
    <row r="515" spans="2:9" x14ac:dyDescent="0.2">
      <c r="B515" s="97">
        <v>43847</v>
      </c>
      <c r="C515" s="92">
        <v>43804</v>
      </c>
      <c r="D515" s="93"/>
      <c r="E515" s="93"/>
      <c r="F515" s="94" t="s">
        <v>467</v>
      </c>
      <c r="G515" s="95">
        <v>20000</v>
      </c>
      <c r="H515" s="95" t="s">
        <v>5</v>
      </c>
      <c r="I515" s="96" t="e">
        <f>IF(Paid[[#This Row],[Currency]]="USD",Paid[[#This Row],[Montant]],Paid[[#This Row],[Montant]]/VLOOKUP(Paid[[#This Row],[Date Paid]],TableCurrencyRate[#All],2,FALSE))</f>
        <v>#N/A</v>
      </c>
    </row>
    <row r="516" spans="2:9" x14ac:dyDescent="0.2">
      <c r="B516" s="91">
        <v>43847</v>
      </c>
      <c r="C516" s="92">
        <v>43472</v>
      </c>
      <c r="D516" s="93"/>
      <c r="E516" s="93"/>
      <c r="F516" s="94" t="s">
        <v>516</v>
      </c>
      <c r="G516" s="95">
        <v>18300</v>
      </c>
      <c r="H516" s="95" t="s">
        <v>5</v>
      </c>
      <c r="I516" s="96" t="e">
        <f>IF(Paid[[#This Row],[Currency]]="USD",Paid[[#This Row],[Montant]],Paid[[#This Row],[Montant]]/VLOOKUP(Paid[[#This Row],[Date Paid]],TableCurrencyRate[#All],2,FALSE))</f>
        <v>#N/A</v>
      </c>
    </row>
    <row r="517" spans="2:9" x14ac:dyDescent="0.2">
      <c r="B517" s="97">
        <v>43850</v>
      </c>
      <c r="C517" s="92">
        <v>43472</v>
      </c>
      <c r="D517" s="93"/>
      <c r="E517" s="93"/>
      <c r="F517" s="94" t="s">
        <v>517</v>
      </c>
      <c r="G517" s="95">
        <v>119100</v>
      </c>
      <c r="H517" s="95" t="s">
        <v>5</v>
      </c>
      <c r="I517" s="96" t="e">
        <f>IF(Paid[[#This Row],[Currency]]="USD",Paid[[#This Row],[Montant]],Paid[[#This Row],[Montant]]/VLOOKUP(Paid[[#This Row],[Date Paid]],TableCurrencyRate[#All],2,FALSE))</f>
        <v>#N/A</v>
      </c>
    </row>
    <row r="518" spans="2:9" x14ac:dyDescent="0.2">
      <c r="B518" s="97">
        <v>43850</v>
      </c>
      <c r="C518" s="92">
        <v>43771</v>
      </c>
      <c r="D518" s="93"/>
      <c r="E518" s="93"/>
      <c r="F518" s="94" t="s">
        <v>547</v>
      </c>
      <c r="G518" s="95">
        <v>45000</v>
      </c>
      <c r="H518" s="95" t="s">
        <v>5</v>
      </c>
      <c r="I518" s="96" t="e">
        <f>IF(Paid[[#This Row],[Currency]]="USD",Paid[[#This Row],[Montant]],Paid[[#This Row],[Montant]]/VLOOKUP(Paid[[#This Row],[Date Paid]],TableCurrencyRate[#All],2,FALSE))</f>
        <v>#N/A</v>
      </c>
    </row>
    <row r="519" spans="2:9" x14ac:dyDescent="0.2">
      <c r="B519" s="97">
        <v>43850</v>
      </c>
      <c r="C519" s="92">
        <v>43804</v>
      </c>
      <c r="D519" s="93"/>
      <c r="E519" s="93"/>
      <c r="F519" s="94" t="s">
        <v>470</v>
      </c>
      <c r="G519" s="95">
        <v>45000</v>
      </c>
      <c r="H519" s="95" t="s">
        <v>5</v>
      </c>
      <c r="I519" s="96" t="e">
        <f>IF(Paid[[#This Row],[Currency]]="USD",Paid[[#This Row],[Montant]],Paid[[#This Row],[Montant]]/VLOOKUP(Paid[[#This Row],[Date Paid]],TableCurrencyRate[#All],2,FALSE))</f>
        <v>#N/A</v>
      </c>
    </row>
    <row r="520" spans="2:9" x14ac:dyDescent="0.2">
      <c r="B520" s="97">
        <v>43850</v>
      </c>
      <c r="C520" s="92">
        <v>43811</v>
      </c>
      <c r="D520" s="93"/>
      <c r="E520" s="93"/>
      <c r="F520" s="94" t="s">
        <v>589</v>
      </c>
      <c r="G520" s="95">
        <v>23000</v>
      </c>
      <c r="H520" s="95" t="s">
        <v>5</v>
      </c>
      <c r="I520" s="96" t="e">
        <f>IF(Paid[[#This Row],[Currency]]="USD",Paid[[#This Row],[Montant]],Paid[[#This Row],[Montant]]/VLOOKUP(Paid[[#This Row],[Date Paid]],TableCurrencyRate[#All],2,FALSE))</f>
        <v>#N/A</v>
      </c>
    </row>
    <row r="521" spans="2:9" x14ac:dyDescent="0.2">
      <c r="B521" s="97">
        <v>43850</v>
      </c>
      <c r="C521" s="92">
        <v>43819</v>
      </c>
      <c r="D521" s="93"/>
      <c r="E521" s="93"/>
      <c r="F521" s="94" t="s">
        <v>557</v>
      </c>
      <c r="G521" s="95">
        <v>45000</v>
      </c>
      <c r="H521" s="95" t="s">
        <v>5</v>
      </c>
      <c r="I521" s="96" t="e">
        <f>IF(Paid[[#This Row],[Currency]]="USD",Paid[[#This Row],[Montant]],Paid[[#This Row],[Montant]]/VLOOKUP(Paid[[#This Row],[Date Paid]],TableCurrencyRate[#All],2,FALSE))</f>
        <v>#N/A</v>
      </c>
    </row>
    <row r="522" spans="2:9" x14ac:dyDescent="0.2">
      <c r="B522" s="97">
        <v>43850</v>
      </c>
      <c r="C522" s="92">
        <v>43811</v>
      </c>
      <c r="D522" s="93"/>
      <c r="E522" s="93"/>
      <c r="F522" s="94" t="s">
        <v>558</v>
      </c>
      <c r="G522" s="95">
        <v>12000</v>
      </c>
      <c r="H522" s="95" t="s">
        <v>5</v>
      </c>
      <c r="I522" s="96" t="e">
        <f>IF(Paid[[#This Row],[Currency]]="USD",Paid[[#This Row],[Montant]],Paid[[#This Row],[Montant]]/VLOOKUP(Paid[[#This Row],[Date Paid]],TableCurrencyRate[#All],2,FALSE))</f>
        <v>#N/A</v>
      </c>
    </row>
    <row r="523" spans="2:9" x14ac:dyDescent="0.2">
      <c r="B523" s="97">
        <v>43850</v>
      </c>
      <c r="C523" s="92">
        <v>43811</v>
      </c>
      <c r="D523" s="93"/>
      <c r="E523" s="93"/>
      <c r="F523" s="94" t="s">
        <v>550</v>
      </c>
      <c r="G523" s="95">
        <v>12000</v>
      </c>
      <c r="H523" s="95" t="s">
        <v>5</v>
      </c>
      <c r="I523" s="96" t="e">
        <f>IF(Paid[[#This Row],[Currency]]="USD",Paid[[#This Row],[Montant]],Paid[[#This Row],[Montant]]/VLOOKUP(Paid[[#This Row],[Date Paid]],TableCurrencyRate[#All],2,FALSE))</f>
        <v>#N/A</v>
      </c>
    </row>
    <row r="524" spans="2:9" x14ac:dyDescent="0.2">
      <c r="B524" s="97">
        <v>43850</v>
      </c>
      <c r="C524" s="92">
        <v>43811</v>
      </c>
      <c r="D524" s="93"/>
      <c r="E524" s="93"/>
      <c r="F524" s="94" t="s">
        <v>549</v>
      </c>
      <c r="G524" s="95">
        <v>12000</v>
      </c>
      <c r="H524" s="95" t="s">
        <v>5</v>
      </c>
      <c r="I524" s="96" t="e">
        <f>IF(Paid[[#This Row],[Currency]]="USD",Paid[[#This Row],[Montant]],Paid[[#This Row],[Montant]]/VLOOKUP(Paid[[#This Row],[Date Paid]],TableCurrencyRate[#All],2,FALSE))</f>
        <v>#N/A</v>
      </c>
    </row>
    <row r="525" spans="2:9" x14ac:dyDescent="0.2">
      <c r="B525" s="97">
        <v>43850</v>
      </c>
      <c r="C525" s="92">
        <v>43811</v>
      </c>
      <c r="D525" s="93"/>
      <c r="E525" s="93"/>
      <c r="F525" s="94" t="s">
        <v>551</v>
      </c>
      <c r="G525" s="95">
        <v>12000</v>
      </c>
      <c r="H525" s="95" t="s">
        <v>5</v>
      </c>
      <c r="I525" s="96" t="e">
        <f>IF(Paid[[#This Row],[Currency]]="USD",Paid[[#This Row],[Montant]],Paid[[#This Row],[Montant]]/VLOOKUP(Paid[[#This Row],[Date Paid]],TableCurrencyRate[#All],2,FALSE))</f>
        <v>#N/A</v>
      </c>
    </row>
    <row r="526" spans="2:9" x14ac:dyDescent="0.2">
      <c r="B526" s="97">
        <v>43850</v>
      </c>
      <c r="C526" s="92">
        <v>43811</v>
      </c>
      <c r="D526" s="93"/>
      <c r="E526" s="93"/>
      <c r="F526" s="94" t="s">
        <v>548</v>
      </c>
      <c r="G526" s="95">
        <v>12000</v>
      </c>
      <c r="H526" s="95" t="s">
        <v>5</v>
      </c>
      <c r="I526" s="96" t="e">
        <f>IF(Paid[[#This Row],[Currency]]="USD",Paid[[#This Row],[Montant]],Paid[[#This Row],[Montant]]/VLOOKUP(Paid[[#This Row],[Date Paid]],TableCurrencyRate[#All],2,FALSE))</f>
        <v>#N/A</v>
      </c>
    </row>
    <row r="527" spans="2:9" x14ac:dyDescent="0.2">
      <c r="B527" s="97">
        <v>43850</v>
      </c>
      <c r="C527" s="92">
        <v>43811</v>
      </c>
      <c r="D527" s="93"/>
      <c r="E527" s="93"/>
      <c r="F527" s="94" t="s">
        <v>626</v>
      </c>
      <c r="G527" s="95">
        <v>12000</v>
      </c>
      <c r="H527" s="95" t="s">
        <v>5</v>
      </c>
      <c r="I527" s="96" t="e">
        <f>IF(Paid[[#This Row],[Currency]]="USD",Paid[[#This Row],[Montant]],Paid[[#This Row],[Montant]]/VLOOKUP(Paid[[#This Row],[Date Paid]],TableCurrencyRate[#All],2,FALSE))</f>
        <v>#N/A</v>
      </c>
    </row>
    <row r="528" spans="2:9" x14ac:dyDescent="0.2">
      <c r="B528" s="97">
        <v>43850</v>
      </c>
      <c r="C528" s="92">
        <v>43811</v>
      </c>
      <c r="D528" s="93"/>
      <c r="E528" s="93"/>
      <c r="F528" s="94" t="s">
        <v>553</v>
      </c>
      <c r="G528" s="95">
        <v>12000</v>
      </c>
      <c r="H528" s="95" t="s">
        <v>5</v>
      </c>
      <c r="I528" s="96" t="e">
        <f>IF(Paid[[#This Row],[Currency]]="USD",Paid[[#This Row],[Montant]],Paid[[#This Row],[Montant]]/VLOOKUP(Paid[[#This Row],[Date Paid]],TableCurrencyRate[#All],2,FALSE))</f>
        <v>#N/A</v>
      </c>
    </row>
    <row r="529" spans="2:9" x14ac:dyDescent="0.2">
      <c r="B529" s="97">
        <v>43850</v>
      </c>
      <c r="C529" s="92">
        <v>43811</v>
      </c>
      <c r="D529" s="93"/>
      <c r="E529" s="93"/>
      <c r="F529" s="94" t="s">
        <v>552</v>
      </c>
      <c r="G529" s="95">
        <v>12000</v>
      </c>
      <c r="H529" s="95" t="s">
        <v>5</v>
      </c>
      <c r="I529" s="96" t="e">
        <f>IF(Paid[[#This Row],[Currency]]="USD",Paid[[#This Row],[Montant]],Paid[[#This Row],[Montant]]/VLOOKUP(Paid[[#This Row],[Date Paid]],TableCurrencyRate[#All],2,FALSE))</f>
        <v>#N/A</v>
      </c>
    </row>
    <row r="530" spans="2:9" x14ac:dyDescent="0.2">
      <c r="B530" s="97">
        <v>43850</v>
      </c>
      <c r="C530" s="92">
        <v>43832</v>
      </c>
      <c r="D530" s="93"/>
      <c r="E530" s="93"/>
      <c r="F530" s="94" t="s">
        <v>600</v>
      </c>
      <c r="G530" s="95">
        <v>12800</v>
      </c>
      <c r="H530" s="95" t="s">
        <v>5</v>
      </c>
      <c r="I530" s="96" t="e">
        <f>IF(Paid[[#This Row],[Currency]]="USD",Paid[[#This Row],[Montant]],Paid[[#This Row],[Montant]]/VLOOKUP(Paid[[#This Row],[Date Paid]],TableCurrencyRate[#All],2,FALSE))</f>
        <v>#N/A</v>
      </c>
    </row>
    <row r="531" spans="2:9" x14ac:dyDescent="0.2">
      <c r="B531" s="97">
        <v>43850</v>
      </c>
      <c r="C531" s="92">
        <v>43831</v>
      </c>
      <c r="D531" s="93"/>
      <c r="E531" s="93"/>
      <c r="F531" s="94" t="s">
        <v>599</v>
      </c>
      <c r="G531" s="95">
        <v>12800</v>
      </c>
      <c r="H531" s="95" t="s">
        <v>5</v>
      </c>
      <c r="I531" s="96" t="e">
        <f>IF(Paid[[#This Row],[Currency]]="USD",Paid[[#This Row],[Montant]],Paid[[#This Row],[Montant]]/VLOOKUP(Paid[[#This Row],[Date Paid]],TableCurrencyRate[#All],2,FALSE))</f>
        <v>#N/A</v>
      </c>
    </row>
    <row r="532" spans="2:9" x14ac:dyDescent="0.2">
      <c r="B532" s="97">
        <v>43850</v>
      </c>
      <c r="C532" s="92">
        <v>43832</v>
      </c>
      <c r="D532" s="93"/>
      <c r="E532" s="93"/>
      <c r="F532" s="94" t="s">
        <v>609</v>
      </c>
      <c r="G532" s="95">
        <v>14000</v>
      </c>
      <c r="H532" s="95" t="s">
        <v>5</v>
      </c>
      <c r="I532" s="96" t="e">
        <f>IF(Paid[[#This Row],[Currency]]="USD",Paid[[#This Row],[Montant]],Paid[[#This Row],[Montant]]/VLOOKUP(Paid[[#This Row],[Date Paid]],TableCurrencyRate[#All],2,FALSE))</f>
        <v>#N/A</v>
      </c>
    </row>
    <row r="533" spans="2:9" x14ac:dyDescent="0.2">
      <c r="B533" s="97">
        <v>43850</v>
      </c>
      <c r="C533" s="92">
        <v>43832</v>
      </c>
      <c r="D533" s="93"/>
      <c r="E533" s="93"/>
      <c r="F533" s="94" t="s">
        <v>608</v>
      </c>
      <c r="G533" s="95">
        <v>12800</v>
      </c>
      <c r="H533" s="95" t="s">
        <v>5</v>
      </c>
      <c r="I533" s="96" t="e">
        <f>IF(Paid[[#This Row],[Currency]]="USD",Paid[[#This Row],[Montant]],Paid[[#This Row],[Montant]]/VLOOKUP(Paid[[#This Row],[Date Paid]],TableCurrencyRate[#All],2,FALSE))</f>
        <v>#N/A</v>
      </c>
    </row>
    <row r="534" spans="2:9" x14ac:dyDescent="0.2">
      <c r="B534" s="97">
        <v>43850</v>
      </c>
      <c r="C534" s="92">
        <v>43832</v>
      </c>
      <c r="D534" s="93"/>
      <c r="E534" s="93"/>
      <c r="F534" s="94" t="s">
        <v>607</v>
      </c>
      <c r="G534" s="95">
        <v>12500</v>
      </c>
      <c r="H534" s="95" t="s">
        <v>5</v>
      </c>
      <c r="I534" s="96" t="e">
        <f>IF(Paid[[#This Row],[Currency]]="USD",Paid[[#This Row],[Montant]],Paid[[#This Row],[Montant]]/VLOOKUP(Paid[[#This Row],[Date Paid]],TableCurrencyRate[#All],2,FALSE))</f>
        <v>#N/A</v>
      </c>
    </row>
    <row r="535" spans="2:9" x14ac:dyDescent="0.2">
      <c r="B535" s="97">
        <v>43850</v>
      </c>
      <c r="C535" s="92">
        <v>43831</v>
      </c>
      <c r="D535" s="93"/>
      <c r="E535" s="93"/>
      <c r="F535" s="94" t="s">
        <v>605</v>
      </c>
      <c r="G535" s="95">
        <v>9000</v>
      </c>
      <c r="H535" s="95" t="s">
        <v>5</v>
      </c>
      <c r="I535" s="96" t="e">
        <f>IF(Paid[[#This Row],[Currency]]="USD",Paid[[#This Row],[Montant]],Paid[[#This Row],[Montant]]/VLOOKUP(Paid[[#This Row],[Date Paid]],TableCurrencyRate[#All],2,FALSE))</f>
        <v>#N/A</v>
      </c>
    </row>
    <row r="536" spans="2:9" x14ac:dyDescent="0.2">
      <c r="B536" s="97">
        <v>43850</v>
      </c>
      <c r="C536" s="92">
        <v>43832</v>
      </c>
      <c r="D536" s="93"/>
      <c r="E536" s="93"/>
      <c r="F536" s="94" t="s">
        <v>606</v>
      </c>
      <c r="G536" s="95">
        <v>10200</v>
      </c>
      <c r="H536" s="95" t="s">
        <v>5</v>
      </c>
      <c r="I536" s="96" t="e">
        <f>IF(Paid[[#This Row],[Currency]]="USD",Paid[[#This Row],[Montant]],Paid[[#This Row],[Montant]]/VLOOKUP(Paid[[#This Row],[Date Paid]],TableCurrencyRate[#All],2,FALSE))</f>
        <v>#N/A</v>
      </c>
    </row>
    <row r="537" spans="2:9" x14ac:dyDescent="0.2">
      <c r="B537" s="97">
        <v>43850</v>
      </c>
      <c r="C537" s="92">
        <v>43845</v>
      </c>
      <c r="D537" s="93"/>
      <c r="E537" s="93"/>
      <c r="F537" s="94" t="s">
        <v>593</v>
      </c>
      <c r="G537" s="95">
        <v>166000</v>
      </c>
      <c r="H537" s="95" t="s">
        <v>5</v>
      </c>
      <c r="I537" s="96" t="e">
        <f>IF(Paid[[#This Row],[Currency]]="USD",Paid[[#This Row],[Montant]],Paid[[#This Row],[Montant]]/VLOOKUP(Paid[[#This Row],[Date Paid]],TableCurrencyRate[#All],2,FALSE))</f>
        <v>#N/A</v>
      </c>
    </row>
    <row r="538" spans="2:9" x14ac:dyDescent="0.2">
      <c r="B538" s="97">
        <v>43850</v>
      </c>
      <c r="C538" s="92">
        <v>43847</v>
      </c>
      <c r="D538" s="93"/>
      <c r="E538" s="93"/>
      <c r="F538" s="94" t="s">
        <v>591</v>
      </c>
      <c r="G538" s="95">
        <f>40000+10000</f>
        <v>50000</v>
      </c>
      <c r="H538" s="95" t="s">
        <v>5</v>
      </c>
      <c r="I538" s="96" t="e">
        <f>IF(Paid[[#This Row],[Currency]]="USD",Paid[[#This Row],[Montant]],Paid[[#This Row],[Montant]]/VLOOKUP(Paid[[#This Row],[Date Paid]],TableCurrencyRate[#All],2,FALSE))</f>
        <v>#N/A</v>
      </c>
    </row>
    <row r="539" spans="2:9" x14ac:dyDescent="0.2">
      <c r="B539" s="97">
        <v>43850</v>
      </c>
      <c r="C539" s="92">
        <v>43847</v>
      </c>
      <c r="D539" s="93"/>
      <c r="E539" s="93"/>
      <c r="F539" s="94" t="s">
        <v>584</v>
      </c>
      <c r="G539" s="95">
        <f>420000+28600</f>
        <v>448600</v>
      </c>
      <c r="H539" s="95" t="s">
        <v>5</v>
      </c>
      <c r="I539" s="96" t="e">
        <f>IF(Paid[[#This Row],[Currency]]="USD",Paid[[#This Row],[Montant]],Paid[[#This Row],[Montant]]/VLOOKUP(Paid[[#This Row],[Date Paid]],TableCurrencyRate[#All],2,FALSE))</f>
        <v>#N/A</v>
      </c>
    </row>
    <row r="540" spans="2:9" x14ac:dyDescent="0.2">
      <c r="B540" s="97">
        <v>43850</v>
      </c>
      <c r="C540" s="92">
        <v>43782</v>
      </c>
      <c r="D540" s="93"/>
      <c r="E540" s="93"/>
      <c r="F540" s="94" t="s">
        <v>21</v>
      </c>
      <c r="G540" s="95">
        <v>320700</v>
      </c>
      <c r="H540" s="95" t="s">
        <v>5</v>
      </c>
      <c r="I540" s="96" t="e">
        <f>IF(Paid[[#This Row],[Currency]]="USD",Paid[[#This Row],[Montant]],Paid[[#This Row],[Montant]]/VLOOKUP(Paid[[#This Row],[Date Paid]],TableCurrencyRate[#All],2,FALSE))</f>
        <v>#N/A</v>
      </c>
    </row>
    <row r="541" spans="2:9" x14ac:dyDescent="0.2">
      <c r="B541" s="97">
        <v>43850</v>
      </c>
      <c r="C541" s="92">
        <v>43706</v>
      </c>
      <c r="D541" s="93" t="s">
        <v>46</v>
      </c>
      <c r="E541" s="93"/>
      <c r="F541" s="94" t="s">
        <v>269</v>
      </c>
      <c r="G541" s="95">
        <v>145.74</v>
      </c>
      <c r="H541" s="95" t="s">
        <v>6</v>
      </c>
      <c r="I541" s="96">
        <f>IF(Paid[[#This Row],[Currency]]="USD",Paid[[#This Row],[Montant]],Paid[[#This Row],[Montant]]/VLOOKUP(Paid[[#This Row],[Date Paid]],TableCurrencyRate[#All],2,FALSE))</f>
        <v>145.74</v>
      </c>
    </row>
    <row r="542" spans="2:9" x14ac:dyDescent="0.2">
      <c r="B542" s="97">
        <v>43850</v>
      </c>
      <c r="C542" s="92">
        <v>43847</v>
      </c>
      <c r="D542" s="93"/>
      <c r="E542" s="93"/>
      <c r="F542" s="94" t="s">
        <v>590</v>
      </c>
      <c r="G542" s="95">
        <v>20</v>
      </c>
      <c r="H542" s="95" t="s">
        <v>6</v>
      </c>
      <c r="I542" s="96">
        <f>IF(Paid[[#This Row],[Currency]]="USD",Paid[[#This Row],[Montant]],Paid[[#This Row],[Montant]]/VLOOKUP(Paid[[#This Row],[Date Paid]],TableCurrencyRate[#All],2,FALSE))</f>
        <v>20</v>
      </c>
    </row>
    <row r="543" spans="2:9" x14ac:dyDescent="0.2">
      <c r="B543" s="97">
        <v>43851</v>
      </c>
      <c r="C543" s="92">
        <v>43783</v>
      </c>
      <c r="D543" s="93"/>
      <c r="E543" s="93"/>
      <c r="F543" s="94" t="s">
        <v>453</v>
      </c>
      <c r="G543" s="95">
        <v>325</v>
      </c>
      <c r="H543" s="95" t="s">
        <v>6</v>
      </c>
      <c r="I543" s="96">
        <f>IF(Paid[[#This Row],[Currency]]="USD",Paid[[#This Row],[Montant]],Paid[[#This Row],[Montant]]/VLOOKUP(Paid[[#This Row],[Date Paid]],TableCurrencyRate[#All],2,FALSE))</f>
        <v>325</v>
      </c>
    </row>
    <row r="544" spans="2:9" x14ac:dyDescent="0.2">
      <c r="B544" s="97">
        <v>43851</v>
      </c>
      <c r="C544" s="92">
        <v>43847</v>
      </c>
      <c r="D544" s="93"/>
      <c r="E544" s="93"/>
      <c r="F544" s="94" t="s">
        <v>583</v>
      </c>
      <c r="G544" s="95">
        <v>450</v>
      </c>
      <c r="H544" s="95" t="s">
        <v>6</v>
      </c>
      <c r="I544" s="96">
        <f>IF(Paid[[#This Row],[Currency]]="USD",Paid[[#This Row],[Montant]],Paid[[#This Row],[Montant]]/VLOOKUP(Paid[[#This Row],[Date Paid]],TableCurrencyRate[#All],2,FALSE))</f>
        <v>450</v>
      </c>
    </row>
    <row r="545" spans="2:9" x14ac:dyDescent="0.2">
      <c r="B545" s="97">
        <v>43851</v>
      </c>
      <c r="C545" s="92">
        <v>43787</v>
      </c>
      <c r="D545" s="93"/>
      <c r="E545" s="93"/>
      <c r="F545" s="94" t="s">
        <v>454</v>
      </c>
      <c r="G545" s="95">
        <v>255</v>
      </c>
      <c r="H545" s="95" t="s">
        <v>6</v>
      </c>
      <c r="I545" s="96">
        <f>IF(Paid[[#This Row],[Currency]]="USD",Paid[[#This Row],[Montant]],Paid[[#This Row],[Montant]]/VLOOKUP(Paid[[#This Row],[Date Paid]],TableCurrencyRate[#All],2,FALSE))</f>
        <v>255</v>
      </c>
    </row>
    <row r="546" spans="2:9" x14ac:dyDescent="0.2">
      <c r="B546" s="97">
        <v>43851</v>
      </c>
      <c r="C546" s="92">
        <v>43840</v>
      </c>
      <c r="D546" s="93"/>
      <c r="E546" s="93"/>
      <c r="F546" s="94" t="s">
        <v>595</v>
      </c>
      <c r="G546" s="95">
        <v>155000</v>
      </c>
      <c r="H546" s="95" t="s">
        <v>5</v>
      </c>
      <c r="I546" s="96" t="e">
        <f>IF(Paid[[#This Row],[Currency]]="USD",Paid[[#This Row],[Montant]],Paid[[#This Row],[Montant]]/VLOOKUP(Paid[[#This Row],[Date Paid]],TableCurrencyRate[#All],2,FALSE))</f>
        <v>#N/A</v>
      </c>
    </row>
    <row r="547" spans="2:9" x14ac:dyDescent="0.2">
      <c r="B547" s="97">
        <v>43851</v>
      </c>
      <c r="C547" s="92">
        <v>43840</v>
      </c>
      <c r="D547" s="93"/>
      <c r="E547" s="93"/>
      <c r="F547" s="94" t="s">
        <v>596</v>
      </c>
      <c r="G547" s="95">
        <v>171250</v>
      </c>
      <c r="H547" s="95" t="s">
        <v>5</v>
      </c>
      <c r="I547" s="96" t="e">
        <f>IF(Paid[[#This Row],[Currency]]="USD",Paid[[#This Row],[Montant]],Paid[[#This Row],[Montant]]/VLOOKUP(Paid[[#This Row],[Date Paid]],TableCurrencyRate[#All],2,FALSE))</f>
        <v>#N/A</v>
      </c>
    </row>
    <row r="548" spans="2:9" x14ac:dyDescent="0.2">
      <c r="B548" s="97">
        <v>43851</v>
      </c>
      <c r="C548" s="92">
        <v>43840</v>
      </c>
      <c r="D548" s="93"/>
      <c r="E548" s="93"/>
      <c r="F548" s="94" t="s">
        <v>597</v>
      </c>
      <c r="G548" s="95">
        <v>120900</v>
      </c>
      <c r="H548" s="95" t="s">
        <v>5</v>
      </c>
      <c r="I548" s="96" t="e">
        <f>IF(Paid[[#This Row],[Currency]]="USD",Paid[[#This Row],[Montant]],Paid[[#This Row],[Montant]]/VLOOKUP(Paid[[#This Row],[Date Paid]],TableCurrencyRate[#All],2,FALSE))</f>
        <v>#N/A</v>
      </c>
    </row>
    <row r="549" spans="2:9" x14ac:dyDescent="0.2">
      <c r="B549" s="97">
        <v>43852</v>
      </c>
      <c r="C549" s="13">
        <v>43619</v>
      </c>
      <c r="D549" s="14" t="s">
        <v>279</v>
      </c>
      <c r="E549" s="14" t="s">
        <v>541</v>
      </c>
      <c r="F549" s="15" t="s">
        <v>543</v>
      </c>
      <c r="G549" s="21">
        <v>1009800</v>
      </c>
      <c r="H549" s="16" t="s">
        <v>5</v>
      </c>
      <c r="I549" s="96" t="e">
        <f>IF(Paid[[#This Row],[Currency]]="USD",Paid[[#This Row],[Montant]],Paid[[#This Row],[Montant]]/VLOOKUP(Paid[[#This Row],[Date Paid]],TableCurrencyRate[#All],2,FALSE))</f>
        <v>#N/A</v>
      </c>
    </row>
    <row r="550" spans="2:9" x14ac:dyDescent="0.2">
      <c r="B550" s="97">
        <v>43852</v>
      </c>
      <c r="C550" s="13">
        <v>43806</v>
      </c>
      <c r="D550" s="14" t="s">
        <v>279</v>
      </c>
      <c r="E550" s="14" t="s">
        <v>541</v>
      </c>
      <c r="F550" s="15" t="s">
        <v>543</v>
      </c>
      <c r="G550" s="21">
        <v>887400</v>
      </c>
      <c r="H550" s="16" t="s">
        <v>5</v>
      </c>
      <c r="I550" s="96" t="e">
        <f>IF(Paid[[#This Row],[Currency]]="USD",Paid[[#This Row],[Montant]],Paid[[#This Row],[Montant]]/VLOOKUP(Paid[[#This Row],[Date Paid]],TableCurrencyRate[#All],2,FALSE))</f>
        <v>#N/A</v>
      </c>
    </row>
    <row r="551" spans="2:9" x14ac:dyDescent="0.2">
      <c r="B551" s="97">
        <v>43852</v>
      </c>
      <c r="C551" s="92">
        <v>43853</v>
      </c>
      <c r="D551" s="93"/>
      <c r="E551" s="93"/>
      <c r="F551" s="11" t="s">
        <v>629</v>
      </c>
      <c r="G551" s="95">
        <f>354-8</f>
        <v>346</v>
      </c>
      <c r="H551" s="95" t="s">
        <v>6</v>
      </c>
      <c r="I551" s="96">
        <f>IF(Paid[[#This Row],[Currency]]="USD",Paid[[#This Row],[Montant]],Paid[[#This Row],[Montant]]/VLOOKUP(Paid[[#This Row],[Date Paid]],TableCurrencyRate[#All],2,FALSE))</f>
        <v>346</v>
      </c>
    </row>
    <row r="552" spans="2:9" x14ac:dyDescent="0.2">
      <c r="B552" s="97">
        <v>43852</v>
      </c>
      <c r="C552" s="92">
        <v>43814</v>
      </c>
      <c r="D552" s="93" t="s">
        <v>9</v>
      </c>
      <c r="E552" s="93" t="s">
        <v>333</v>
      </c>
      <c r="F552" s="94" t="s">
        <v>456</v>
      </c>
      <c r="G552" s="95">
        <v>948610.85</v>
      </c>
      <c r="H552" s="95" t="s">
        <v>5</v>
      </c>
      <c r="I552" s="96" t="e">
        <f>IF(Paid[[#This Row],[Currency]]="USD",Paid[[#This Row],[Montant]],Paid[[#This Row],[Montant]]/VLOOKUP(Paid[[#This Row],[Date Paid]],TableCurrencyRate[#All],2,FALSE))</f>
        <v>#N/A</v>
      </c>
    </row>
    <row r="553" spans="2:9" x14ac:dyDescent="0.2">
      <c r="B553" s="97">
        <v>43852</v>
      </c>
      <c r="C553" s="92">
        <v>43826</v>
      </c>
      <c r="D553" s="93" t="s">
        <v>9</v>
      </c>
      <c r="E553" s="93" t="s">
        <v>333</v>
      </c>
      <c r="F553" s="94" t="s">
        <v>456</v>
      </c>
      <c r="G553" s="95">
        <v>802179</v>
      </c>
      <c r="H553" s="95" t="s">
        <v>5</v>
      </c>
      <c r="I553" s="96" t="e">
        <f>IF(Paid[[#This Row],[Currency]]="USD",Paid[[#This Row],[Montant]],Paid[[#This Row],[Montant]]/VLOOKUP(Paid[[#This Row],[Date Paid]],TableCurrencyRate[#All],2,FALSE))</f>
        <v>#N/A</v>
      </c>
    </row>
    <row r="554" spans="2:9" x14ac:dyDescent="0.2">
      <c r="B554" s="97">
        <v>43852</v>
      </c>
      <c r="C554" s="92">
        <v>43487</v>
      </c>
      <c r="D554" s="93" t="s">
        <v>9</v>
      </c>
      <c r="E554" s="93" t="s">
        <v>519</v>
      </c>
      <c r="F554" s="94" t="s">
        <v>520</v>
      </c>
      <c r="G554" s="95">
        <v>155.19</v>
      </c>
      <c r="H554" s="95" t="s">
        <v>6</v>
      </c>
      <c r="I554" s="96">
        <f>IF(Paid[[#This Row],[Currency]]="USD",Paid[[#This Row],[Montant]],Paid[[#This Row],[Montant]]/VLOOKUP(Paid[[#This Row],[Date Paid]],TableCurrencyRate[#All],2,FALSE))</f>
        <v>155.19</v>
      </c>
    </row>
    <row r="555" spans="2:9" x14ac:dyDescent="0.2">
      <c r="B555" s="97">
        <v>43852</v>
      </c>
      <c r="C555" s="92">
        <v>43850</v>
      </c>
      <c r="D555" s="93"/>
      <c r="E555" s="93"/>
      <c r="F555" s="94" t="s">
        <v>615</v>
      </c>
      <c r="G555" s="95">
        <v>9740</v>
      </c>
      <c r="H555" s="95" t="s">
        <v>5</v>
      </c>
      <c r="I555" s="96" t="e">
        <f>IF(Paid[[#This Row],[Currency]]="USD",Paid[[#This Row],[Montant]],Paid[[#This Row],[Montant]]/VLOOKUP(Paid[[#This Row],[Date Paid]],TableCurrencyRate[#All],2,FALSE))</f>
        <v>#N/A</v>
      </c>
    </row>
    <row r="556" spans="2:9" x14ac:dyDescent="0.2">
      <c r="B556" s="97">
        <v>43852</v>
      </c>
      <c r="C556" s="92">
        <v>43851</v>
      </c>
      <c r="D556" s="93"/>
      <c r="E556" s="93"/>
      <c r="F556" s="94" t="s">
        <v>613</v>
      </c>
      <c r="G556" s="95">
        <v>2100000</v>
      </c>
      <c r="H556" s="95" t="s">
        <v>5</v>
      </c>
      <c r="I556" s="96" t="e">
        <f>IF(Paid[[#This Row],[Currency]]="USD",Paid[[#This Row],[Montant]],Paid[[#This Row],[Montant]]/VLOOKUP(Paid[[#This Row],[Date Paid]],TableCurrencyRate[#All],2,FALSE))</f>
        <v>#N/A</v>
      </c>
    </row>
    <row r="557" spans="2:9" x14ac:dyDescent="0.2">
      <c r="B557" s="97">
        <v>43852</v>
      </c>
      <c r="C557" s="92">
        <v>43850</v>
      </c>
      <c r="D557" s="93"/>
      <c r="E557" s="93"/>
      <c r="F557" s="94" t="s">
        <v>614</v>
      </c>
      <c r="G557" s="95">
        <v>10900</v>
      </c>
      <c r="H557" s="95" t="s">
        <v>5</v>
      </c>
      <c r="I557" s="96" t="e">
        <f>IF(Paid[[#This Row],[Currency]]="USD",Paid[[#This Row],[Montant]],Paid[[#This Row],[Montant]]/VLOOKUP(Paid[[#This Row],[Date Paid]],TableCurrencyRate[#All],2,FALSE))</f>
        <v>#N/A</v>
      </c>
    </row>
    <row r="558" spans="2:9" x14ac:dyDescent="0.2">
      <c r="B558" s="97">
        <v>43852</v>
      </c>
      <c r="C558" s="92">
        <v>43847</v>
      </c>
      <c r="D558" s="93"/>
      <c r="E558" s="93"/>
      <c r="F558" s="94" t="s">
        <v>616</v>
      </c>
      <c r="G558" s="95">
        <v>31300</v>
      </c>
      <c r="H558" s="95" t="s">
        <v>5</v>
      </c>
      <c r="I558" s="96" t="e">
        <f>IF(Paid[[#This Row],[Currency]]="USD",Paid[[#This Row],[Montant]],Paid[[#This Row],[Montant]]/VLOOKUP(Paid[[#This Row],[Date Paid]],TableCurrencyRate[#All],2,FALSE))</f>
        <v>#N/A</v>
      </c>
    </row>
    <row r="559" spans="2:9" x14ac:dyDescent="0.2">
      <c r="B559" s="97">
        <v>43852</v>
      </c>
      <c r="C559" s="92">
        <v>43738</v>
      </c>
      <c r="D559" s="93" t="s">
        <v>46</v>
      </c>
      <c r="E559" s="93"/>
      <c r="F559" s="94" t="s">
        <v>170</v>
      </c>
      <c r="G559" s="95">
        <v>600000</v>
      </c>
      <c r="H559" s="95" t="s">
        <v>5</v>
      </c>
      <c r="I559" s="96" t="e">
        <f>IF(Paid[[#This Row],[Currency]]="USD",Paid[[#This Row],[Montant]],Paid[[#This Row],[Montant]]/VLOOKUP(Paid[[#This Row],[Date Paid]],TableCurrencyRate[#All],2,FALSE))</f>
        <v>#N/A</v>
      </c>
    </row>
    <row r="560" spans="2:9" x14ac:dyDescent="0.2">
      <c r="B560" s="97">
        <v>43852</v>
      </c>
      <c r="C560" s="92">
        <v>43676</v>
      </c>
      <c r="D560" s="93"/>
      <c r="E560" s="93"/>
      <c r="F560" s="94" t="s">
        <v>236</v>
      </c>
      <c r="G560" s="95">
        <v>748200</v>
      </c>
      <c r="H560" s="95" t="s">
        <v>5</v>
      </c>
      <c r="I560" s="96" t="e">
        <f>IF(Paid[[#This Row],[Currency]]="USD",Paid[[#This Row],[Montant]],Paid[[#This Row],[Montant]]/VLOOKUP(Paid[[#This Row],[Date Paid]],TableCurrencyRate[#All],2,FALSE))</f>
        <v>#N/A</v>
      </c>
    </row>
    <row r="561" spans="2:9" x14ac:dyDescent="0.2">
      <c r="B561" s="97">
        <v>43852</v>
      </c>
      <c r="C561" s="92">
        <v>43832</v>
      </c>
      <c r="D561" s="93"/>
      <c r="E561" s="93"/>
      <c r="F561" s="94" t="s">
        <v>604</v>
      </c>
      <c r="G561" s="95">
        <v>42300</v>
      </c>
      <c r="H561" s="95" t="s">
        <v>5</v>
      </c>
      <c r="I561" s="96" t="e">
        <f>IF(Paid[[#This Row],[Currency]]="USD",Paid[[#This Row],[Montant]],Paid[[#This Row],[Montant]]/VLOOKUP(Paid[[#This Row],[Date Paid]],TableCurrencyRate[#All],2,FALSE))</f>
        <v>#N/A</v>
      </c>
    </row>
    <row r="562" spans="2:9" x14ac:dyDescent="0.2">
      <c r="B562" s="97">
        <v>43852</v>
      </c>
      <c r="C562" s="92">
        <v>43832</v>
      </c>
      <c r="D562" s="93"/>
      <c r="E562" s="93"/>
      <c r="F562" s="94" t="s">
        <v>602</v>
      </c>
      <c r="G562" s="95">
        <v>40500</v>
      </c>
      <c r="H562" s="95" t="s">
        <v>5</v>
      </c>
      <c r="I562" s="96" t="e">
        <f>IF(Paid[[#This Row],[Currency]]="USD",Paid[[#This Row],[Montant]],Paid[[#This Row],[Montant]]/VLOOKUP(Paid[[#This Row],[Date Paid]],TableCurrencyRate[#All],2,FALSE))</f>
        <v>#N/A</v>
      </c>
    </row>
    <row r="563" spans="2:9" x14ac:dyDescent="0.2">
      <c r="B563" s="97">
        <v>43852</v>
      </c>
      <c r="C563" s="92">
        <v>43832</v>
      </c>
      <c r="D563" s="93"/>
      <c r="E563" s="93"/>
      <c r="F563" s="94" t="s">
        <v>611</v>
      </c>
      <c r="G563" s="95">
        <v>44300</v>
      </c>
      <c r="H563" s="95" t="s">
        <v>5</v>
      </c>
      <c r="I563" s="96" t="e">
        <f>IF(Paid[[#This Row],[Currency]]="USD",Paid[[#This Row],[Montant]],Paid[[#This Row],[Montant]]/VLOOKUP(Paid[[#This Row],[Date Paid]],TableCurrencyRate[#All],2,FALSE))</f>
        <v>#N/A</v>
      </c>
    </row>
    <row r="564" spans="2:9" x14ac:dyDescent="0.2">
      <c r="B564" s="97">
        <v>43852</v>
      </c>
      <c r="C564" s="92">
        <v>43833</v>
      </c>
      <c r="D564" s="93"/>
      <c r="E564" s="93"/>
      <c r="F564" s="94" t="s">
        <v>612</v>
      </c>
      <c r="G564" s="95">
        <v>41500</v>
      </c>
      <c r="H564" s="95" t="s">
        <v>5</v>
      </c>
      <c r="I564" s="96" t="e">
        <f>IF(Paid[[#This Row],[Currency]]="USD",Paid[[#This Row],[Montant]],Paid[[#This Row],[Montant]]/VLOOKUP(Paid[[#This Row],[Date Paid]],TableCurrencyRate[#All],2,FALSE))</f>
        <v>#N/A</v>
      </c>
    </row>
    <row r="565" spans="2:9" x14ac:dyDescent="0.2">
      <c r="B565" s="97">
        <v>43852</v>
      </c>
      <c r="C565" s="92">
        <v>43829</v>
      </c>
      <c r="D565" s="93"/>
      <c r="E565" s="93"/>
      <c r="F565" s="94" t="s">
        <v>603</v>
      </c>
      <c r="G565" s="95">
        <v>44300</v>
      </c>
      <c r="H565" s="95" t="s">
        <v>5</v>
      </c>
      <c r="I565" s="96" t="e">
        <f>IF(Paid[[#This Row],[Currency]]="USD",Paid[[#This Row],[Montant]],Paid[[#This Row],[Montant]]/VLOOKUP(Paid[[#This Row],[Date Paid]],TableCurrencyRate[#All],2,FALSE))</f>
        <v>#N/A</v>
      </c>
    </row>
    <row r="566" spans="2:9" x14ac:dyDescent="0.2">
      <c r="B566" s="97">
        <v>43852</v>
      </c>
      <c r="C566" s="92">
        <v>43833</v>
      </c>
      <c r="D566" s="93"/>
      <c r="E566" s="93"/>
      <c r="F566" s="94" t="s">
        <v>601</v>
      </c>
      <c r="G566" s="95">
        <v>36500</v>
      </c>
      <c r="H566" s="95" t="s">
        <v>5</v>
      </c>
      <c r="I566" s="96" t="e">
        <f>IF(Paid[[#This Row],[Currency]]="USD",Paid[[#This Row],[Montant]],Paid[[#This Row],[Montant]]/VLOOKUP(Paid[[#This Row],[Date Paid]],TableCurrencyRate[#All],2,FALSE))</f>
        <v>#N/A</v>
      </c>
    </row>
    <row r="567" spans="2:9" x14ac:dyDescent="0.2">
      <c r="B567" s="97">
        <v>43852</v>
      </c>
      <c r="C567" s="92">
        <v>43840</v>
      </c>
      <c r="D567" s="93"/>
      <c r="E567" s="93"/>
      <c r="F567" s="94" t="s">
        <v>617</v>
      </c>
      <c r="G567" s="95">
        <v>40300</v>
      </c>
      <c r="H567" s="95" t="s">
        <v>5</v>
      </c>
      <c r="I567" s="96" t="e">
        <f>IF(Paid[[#This Row],[Currency]]="USD",Paid[[#This Row],[Montant]],Paid[[#This Row],[Montant]]/VLOOKUP(Paid[[#This Row],[Date Paid]],TableCurrencyRate[#All],2,FALSE))</f>
        <v>#N/A</v>
      </c>
    </row>
    <row r="568" spans="2:9" x14ac:dyDescent="0.2">
      <c r="B568" s="97">
        <v>43852</v>
      </c>
      <c r="C568" s="92">
        <v>43832</v>
      </c>
      <c r="D568" s="93"/>
      <c r="E568" s="93"/>
      <c r="F568" s="94" t="s">
        <v>610</v>
      </c>
      <c r="G568" s="95">
        <v>36000</v>
      </c>
      <c r="H568" s="95" t="s">
        <v>5</v>
      </c>
      <c r="I568" s="96" t="e">
        <f>IF(Paid[[#This Row],[Currency]]="USD",Paid[[#This Row],[Montant]],Paid[[#This Row],[Montant]]/VLOOKUP(Paid[[#This Row],[Date Paid]],TableCurrencyRate[#All],2,FALSE))</f>
        <v>#N/A</v>
      </c>
    </row>
    <row r="569" spans="2:9" x14ac:dyDescent="0.2">
      <c r="B569" s="97">
        <v>43854</v>
      </c>
      <c r="C569" s="92">
        <v>43854</v>
      </c>
      <c r="D569" s="93"/>
      <c r="E569" s="93"/>
      <c r="F569" s="11" t="s">
        <v>627</v>
      </c>
      <c r="G569" s="95">
        <f>150000+700</f>
        <v>150700</v>
      </c>
      <c r="H569" s="18" t="s">
        <v>5</v>
      </c>
      <c r="I569" s="96" t="e">
        <f>IF(Paid[[#This Row],[Currency]]="USD",Paid[[#This Row],[Montant]],Paid[[#This Row],[Montant]]/VLOOKUP(Paid[[#This Row],[Date Paid]],TableCurrencyRate[#All],2,FALSE))</f>
        <v>#N/A</v>
      </c>
    </row>
    <row r="570" spans="2:9" x14ac:dyDescent="0.2">
      <c r="B570" s="97">
        <v>43854</v>
      </c>
      <c r="C570" s="92">
        <v>43854</v>
      </c>
      <c r="D570" s="93"/>
      <c r="E570" s="93"/>
      <c r="F570" s="11" t="s">
        <v>628</v>
      </c>
      <c r="G570" s="95">
        <f>582000-36400</f>
        <v>545600</v>
      </c>
      <c r="H570" s="18" t="s">
        <v>5</v>
      </c>
      <c r="I570" s="96" t="e">
        <f>IF(Paid[[#This Row],[Currency]]="USD",Paid[[#This Row],[Montant]],Paid[[#This Row],[Montant]]/VLOOKUP(Paid[[#This Row],[Date Paid]],TableCurrencyRate[#All],2,FALSE))</f>
        <v>#N/A</v>
      </c>
    </row>
    <row r="571" spans="2:9" x14ac:dyDescent="0.2">
      <c r="B571" s="97">
        <v>43854</v>
      </c>
      <c r="C571" s="92">
        <v>43853</v>
      </c>
      <c r="D571" s="93"/>
      <c r="E571" s="93"/>
      <c r="F571" s="94" t="s">
        <v>622</v>
      </c>
      <c r="G571" s="95">
        <v>7500</v>
      </c>
      <c r="H571" s="95" t="s">
        <v>5</v>
      </c>
      <c r="I571" s="96" t="e">
        <f>IF(Paid[[#This Row],[Currency]]="USD",Paid[[#This Row],[Montant]],Paid[[#This Row],[Montant]]/VLOOKUP(Paid[[#This Row],[Date Paid]],TableCurrencyRate[#All],2,FALSE))</f>
        <v>#N/A</v>
      </c>
    </row>
    <row r="572" spans="2:9" x14ac:dyDescent="0.2">
      <c r="B572" s="97">
        <v>43854</v>
      </c>
      <c r="C572" s="92">
        <v>43851</v>
      </c>
      <c r="D572" s="93"/>
      <c r="E572" s="93"/>
      <c r="F572" s="94" t="s">
        <v>620</v>
      </c>
      <c r="G572" s="95">
        <f>27500+3150</f>
        <v>30650</v>
      </c>
      <c r="H572" s="95" t="s">
        <v>5</v>
      </c>
      <c r="I572" s="96" t="e">
        <f>IF(Paid[[#This Row],[Currency]]="USD",Paid[[#This Row],[Montant]],Paid[[#This Row],[Montant]]/VLOOKUP(Paid[[#This Row],[Date Paid]],TableCurrencyRate[#All],2,FALSE))</f>
        <v>#N/A</v>
      </c>
    </row>
    <row r="573" spans="2:9" x14ac:dyDescent="0.2">
      <c r="B573" s="97">
        <v>43854</v>
      </c>
      <c r="C573" s="92">
        <v>43853</v>
      </c>
      <c r="D573" s="93"/>
      <c r="E573" s="93"/>
      <c r="F573" s="94" t="s">
        <v>588</v>
      </c>
      <c r="G573" s="95">
        <f>66400-10700</f>
        <v>55700</v>
      </c>
      <c r="H573" s="95" t="s">
        <v>5</v>
      </c>
      <c r="I573" s="96" t="e">
        <f>IF(Paid[[#This Row],[Currency]]="USD",Paid[[#This Row],[Montant]],Paid[[#This Row],[Montant]]/VLOOKUP(Paid[[#This Row],[Date Paid]],TableCurrencyRate[#All],2,FALSE))</f>
        <v>#N/A</v>
      </c>
    </row>
    <row r="574" spans="2:9" x14ac:dyDescent="0.2">
      <c r="B574" s="97">
        <v>43854</v>
      </c>
      <c r="C574" s="92">
        <v>43853</v>
      </c>
      <c r="D574" s="93"/>
      <c r="E574" s="93"/>
      <c r="F574" s="94" t="s">
        <v>620</v>
      </c>
      <c r="G574" s="95">
        <f>16000-1850</f>
        <v>14150</v>
      </c>
      <c r="H574" s="95" t="s">
        <v>5</v>
      </c>
      <c r="I574" s="96" t="e">
        <f>IF(Paid[[#This Row],[Currency]]="USD",Paid[[#This Row],[Montant]],Paid[[#This Row],[Montant]]/VLOOKUP(Paid[[#This Row],[Date Paid]],TableCurrencyRate[#All],2,FALSE))</f>
        <v>#N/A</v>
      </c>
    </row>
    <row r="575" spans="2:9" x14ac:dyDescent="0.2">
      <c r="B575" s="97">
        <v>43854</v>
      </c>
      <c r="C575" s="92">
        <v>43852</v>
      </c>
      <c r="D575" s="93"/>
      <c r="E575" s="93"/>
      <c r="F575" s="11" t="s">
        <v>640</v>
      </c>
      <c r="G575" s="95">
        <f>15000+1800</f>
        <v>16800</v>
      </c>
      <c r="H575" s="95" t="s">
        <v>5</v>
      </c>
      <c r="I575" s="96" t="e">
        <f>IF(Paid[[#This Row],[Currency]]="USD",Paid[[#This Row],[Montant]],Paid[[#This Row],[Montant]]/VLOOKUP(Paid[[#This Row],[Date Paid]],TableCurrencyRate[#All],2,FALSE))</f>
        <v>#N/A</v>
      </c>
    </row>
    <row r="576" spans="2:9" x14ac:dyDescent="0.2">
      <c r="B576" s="97">
        <v>43854</v>
      </c>
      <c r="C576" s="92">
        <v>43854</v>
      </c>
      <c r="D576" s="10" t="s">
        <v>46</v>
      </c>
      <c r="E576" s="93"/>
      <c r="F576" s="94" t="s">
        <v>618</v>
      </c>
      <c r="G576" s="95">
        <v>95700</v>
      </c>
      <c r="H576" s="95" t="s">
        <v>5</v>
      </c>
      <c r="I576" s="96" t="e">
        <f>IF(Paid[[#This Row],[Currency]]="USD",Paid[[#This Row],[Montant]],Paid[[#This Row],[Montant]]/VLOOKUP(Paid[[#This Row],[Date Paid]],TableCurrencyRate[#All],2,FALSE))</f>
        <v>#N/A</v>
      </c>
    </row>
    <row r="577" spans="2:9" x14ac:dyDescent="0.2">
      <c r="B577" s="97">
        <v>43854</v>
      </c>
      <c r="C577" s="92">
        <v>43853</v>
      </c>
      <c r="D577" s="93"/>
      <c r="E577" s="93"/>
      <c r="F577" s="94" t="s">
        <v>621</v>
      </c>
      <c r="G577" s="95">
        <v>106700</v>
      </c>
      <c r="H577" s="95" t="s">
        <v>5</v>
      </c>
      <c r="I577" s="96" t="e">
        <f>IF(Paid[[#This Row],[Currency]]="USD",Paid[[#This Row],[Montant]],Paid[[#This Row],[Montant]]/VLOOKUP(Paid[[#This Row],[Date Paid]],TableCurrencyRate[#All],2,FALSE))</f>
        <v>#N/A</v>
      </c>
    </row>
    <row r="578" spans="2:9" x14ac:dyDescent="0.2">
      <c r="B578" s="97">
        <v>43854</v>
      </c>
      <c r="C578" s="92">
        <v>43853</v>
      </c>
      <c r="D578" s="93"/>
      <c r="E578" s="93"/>
      <c r="F578" s="94" t="s">
        <v>238</v>
      </c>
      <c r="G578" s="95">
        <v>39400</v>
      </c>
      <c r="H578" s="95" t="s">
        <v>5</v>
      </c>
      <c r="I578" s="96" t="e">
        <f>IF(Paid[[#This Row],[Currency]]="USD",Paid[[#This Row],[Montant]],Paid[[#This Row],[Montant]]/VLOOKUP(Paid[[#This Row],[Date Paid]],TableCurrencyRate[#All],2,FALSE))</f>
        <v>#N/A</v>
      </c>
    </row>
    <row r="579" spans="2:9" x14ac:dyDescent="0.2">
      <c r="B579" s="97">
        <v>43854</v>
      </c>
      <c r="C579" s="92">
        <v>43853</v>
      </c>
      <c r="D579" s="93"/>
      <c r="E579" s="93"/>
      <c r="F579" s="11" t="s">
        <v>619</v>
      </c>
      <c r="G579" s="95">
        <f>300-98</f>
        <v>202</v>
      </c>
      <c r="H579" s="18" t="s">
        <v>6</v>
      </c>
      <c r="I579" s="96">
        <f>IF(Paid[[#This Row],[Currency]]="USD",Paid[[#This Row],[Montant]],Paid[[#This Row],[Montant]]/VLOOKUP(Paid[[#This Row],[Date Paid]],TableCurrencyRate[#All],2,FALSE))</f>
        <v>202</v>
      </c>
    </row>
    <row r="580" spans="2:9" x14ac:dyDescent="0.2">
      <c r="B580" s="97">
        <v>43858</v>
      </c>
      <c r="C580" s="92">
        <v>43858</v>
      </c>
      <c r="D580" s="93"/>
      <c r="E580" s="10" t="s">
        <v>586</v>
      </c>
      <c r="F580" s="11" t="s">
        <v>630</v>
      </c>
      <c r="G580" s="95">
        <f>1140000-76000</f>
        <v>1064000</v>
      </c>
      <c r="H580" s="18" t="s">
        <v>5</v>
      </c>
      <c r="I580" s="96" t="e">
        <f>IF(Paid[[#This Row],[Currency]]="USD",Paid[[#This Row],[Montant]],Paid[[#This Row],[Montant]]/VLOOKUP(Paid[[#This Row],[Date Paid]],TableCurrencyRate[#All],2,FALSE))</f>
        <v>#N/A</v>
      </c>
    </row>
    <row r="581" spans="2:9" x14ac:dyDescent="0.2">
      <c r="B581" s="97">
        <v>43858</v>
      </c>
      <c r="C581" s="92">
        <v>43858</v>
      </c>
      <c r="D581" s="93"/>
      <c r="E581" s="10" t="s">
        <v>233</v>
      </c>
      <c r="F581" s="11" t="s">
        <v>631</v>
      </c>
      <c r="G581" s="95">
        <f>70400-2000</f>
        <v>68400</v>
      </c>
      <c r="H581" s="18" t="s">
        <v>5</v>
      </c>
      <c r="I581" s="96" t="e">
        <f>IF(Paid[[#This Row],[Currency]]="USD",Paid[[#This Row],[Montant]],Paid[[#This Row],[Montant]]/VLOOKUP(Paid[[#This Row],[Date Paid]],TableCurrencyRate[#All],2,FALSE))</f>
        <v>#N/A</v>
      </c>
    </row>
    <row r="582" spans="2:9" x14ac:dyDescent="0.2">
      <c r="B582" s="97">
        <v>43858</v>
      </c>
      <c r="C582" s="92">
        <v>43858</v>
      </c>
      <c r="D582" s="93"/>
      <c r="E582" s="93"/>
      <c r="F582" s="11" t="s">
        <v>632</v>
      </c>
      <c r="G582" s="95">
        <v>700000</v>
      </c>
      <c r="H582" s="18" t="s">
        <v>5</v>
      </c>
      <c r="I582" s="96" t="e">
        <f>IF(Paid[[#This Row],[Currency]]="USD",Paid[[#This Row],[Montant]],Paid[[#This Row],[Montant]]/VLOOKUP(Paid[[#This Row],[Date Paid]],TableCurrencyRate[#All],2,FALSE))</f>
        <v>#N/A</v>
      </c>
    </row>
    <row r="583" spans="2:9" x14ac:dyDescent="0.2">
      <c r="B583" s="97">
        <v>43858</v>
      </c>
      <c r="C583" s="92">
        <v>43858</v>
      </c>
      <c r="D583" s="93"/>
      <c r="E583" s="93"/>
      <c r="F583" s="11" t="s">
        <v>633</v>
      </c>
      <c r="G583" s="95">
        <v>73000</v>
      </c>
      <c r="H583" s="18" t="s">
        <v>5</v>
      </c>
      <c r="I583" s="96" t="e">
        <f>IF(Paid[[#This Row],[Currency]]="USD",Paid[[#This Row],[Montant]],Paid[[#This Row],[Montant]]/VLOOKUP(Paid[[#This Row],[Date Paid]],TableCurrencyRate[#All],2,FALSE))</f>
        <v>#N/A</v>
      </c>
    </row>
    <row r="584" spans="2:9" x14ac:dyDescent="0.2">
      <c r="B584" s="97">
        <v>43865</v>
      </c>
      <c r="C584" s="92">
        <v>43865</v>
      </c>
      <c r="D584" s="93"/>
      <c r="E584" s="93"/>
      <c r="F584" s="11" t="s">
        <v>634</v>
      </c>
      <c r="G584" s="95">
        <f>14418693+343674-31915</f>
        <v>14730452</v>
      </c>
      <c r="H584" s="18" t="s">
        <v>5</v>
      </c>
      <c r="I584" s="96" t="e">
        <f>IF(Paid[[#This Row],[Currency]]="USD",Paid[[#This Row],[Montant]],Paid[[#This Row],[Montant]]/VLOOKUP(Paid[[#This Row],[Date Paid]],TableCurrencyRate[#All],2,FALSE))</f>
        <v>#N/A</v>
      </c>
    </row>
    <row r="585" spans="2:9" x14ac:dyDescent="0.2">
      <c r="B585" s="97">
        <v>43867</v>
      </c>
      <c r="C585" s="92">
        <v>43867</v>
      </c>
      <c r="D585" s="93"/>
      <c r="E585" s="93"/>
      <c r="F585" s="11" t="s">
        <v>635</v>
      </c>
      <c r="G585" s="95">
        <v>79800</v>
      </c>
      <c r="H585" s="18" t="s">
        <v>5</v>
      </c>
      <c r="I585" s="96" t="e">
        <f>IF(Paid[[#This Row],[Currency]]="USD",Paid[[#This Row],[Montant]],Paid[[#This Row],[Montant]]/VLOOKUP(Paid[[#This Row],[Date Paid]],TableCurrencyRate[#All],2,FALSE))</f>
        <v>#N/A</v>
      </c>
    </row>
    <row r="586" spans="2:9" x14ac:dyDescent="0.2">
      <c r="B586" s="97">
        <v>43867</v>
      </c>
      <c r="C586" s="92">
        <v>43867</v>
      </c>
      <c r="D586" s="93"/>
      <c r="E586" s="93"/>
      <c r="F586" s="11" t="s">
        <v>637</v>
      </c>
      <c r="G586" s="95">
        <v>740000</v>
      </c>
      <c r="H586" s="18" t="s">
        <v>5</v>
      </c>
      <c r="I586" s="96" t="e">
        <f>IF(Paid[[#This Row],[Currency]]="USD",Paid[[#This Row],[Montant]],Paid[[#This Row],[Montant]]/VLOOKUP(Paid[[#This Row],[Date Paid]],TableCurrencyRate[#All],2,FALSE))</f>
        <v>#N/A</v>
      </c>
    </row>
    <row r="587" spans="2:9" x14ac:dyDescent="0.2">
      <c r="B587" s="97">
        <v>43867</v>
      </c>
      <c r="C587" s="92">
        <v>43867</v>
      </c>
      <c r="D587" s="93"/>
      <c r="E587" s="93"/>
      <c r="F587" s="11" t="s">
        <v>638</v>
      </c>
      <c r="G587" s="95">
        <v>48100</v>
      </c>
      <c r="H587" s="18" t="s">
        <v>5</v>
      </c>
      <c r="I587" s="96" t="e">
        <f>IF(Paid[[#This Row],[Currency]]="USD",Paid[[#This Row],[Montant]],Paid[[#This Row],[Montant]]/VLOOKUP(Paid[[#This Row],[Date Paid]],TableCurrencyRate[#All],2,FALSE))</f>
        <v>#N/A</v>
      </c>
    </row>
    <row r="588" spans="2:9" x14ac:dyDescent="0.2">
      <c r="B588" s="97">
        <v>43867</v>
      </c>
      <c r="C588" s="92">
        <v>43867</v>
      </c>
      <c r="D588" s="93"/>
      <c r="E588" s="93"/>
      <c r="F588" s="11" t="s">
        <v>639</v>
      </c>
      <c r="G588" s="95">
        <f>3762419+100000+513100+676288</f>
        <v>5051807</v>
      </c>
      <c r="H588" s="18" t="s">
        <v>5</v>
      </c>
      <c r="I588" s="96" t="e">
        <f>IF(Paid[[#This Row],[Currency]]="USD",Paid[[#This Row],[Montant]],Paid[[#This Row],[Montant]]/VLOOKUP(Paid[[#This Row],[Date Paid]],TableCurrencyRate[#All],2,FALSE))</f>
        <v>#N/A</v>
      </c>
    </row>
    <row r="589" spans="2:9" x14ac:dyDescent="0.2">
      <c r="B589" s="97">
        <v>43872</v>
      </c>
      <c r="C589" s="13">
        <v>43869</v>
      </c>
      <c r="D589" s="14"/>
      <c r="E589" s="14"/>
      <c r="F589" s="15" t="s">
        <v>636</v>
      </c>
      <c r="G589" s="21">
        <f>1080000-123000</f>
        <v>957000</v>
      </c>
      <c r="H589" s="16" t="s">
        <v>5</v>
      </c>
      <c r="I589" s="96" t="e">
        <f>IF(Paid[[#This Row],[Currency]]="USD",Paid[[#This Row],[Montant]],Paid[[#This Row],[Montant]]/VLOOKUP(Paid[[#This Row],[Date Paid]],TableCurrencyRate[#All],2,FALSE))</f>
        <v>#N/A</v>
      </c>
    </row>
    <row r="590" spans="2:9" x14ac:dyDescent="0.2">
      <c r="B590" s="97">
        <v>43872</v>
      </c>
      <c r="C590" s="13">
        <v>43869</v>
      </c>
      <c r="D590" s="14"/>
      <c r="E590" s="14"/>
      <c r="F590" s="15" t="s">
        <v>623</v>
      </c>
      <c r="G590" s="21">
        <v>605000</v>
      </c>
      <c r="H590" s="16" t="s">
        <v>5</v>
      </c>
      <c r="I590" s="96" t="e">
        <f>IF(Paid[[#This Row],[Currency]]="USD",Paid[[#This Row],[Montant]],Paid[[#This Row],[Montant]]/VLOOKUP(Paid[[#This Row],[Date Paid]],TableCurrencyRate[#All],2,FALSE))</f>
        <v>#N/A</v>
      </c>
    </row>
    <row r="591" spans="2:9" x14ac:dyDescent="0.2">
      <c r="B591" s="97">
        <v>43872</v>
      </c>
      <c r="C591" s="13">
        <v>43869</v>
      </c>
      <c r="D591" s="14"/>
      <c r="E591" s="14" t="s">
        <v>586</v>
      </c>
      <c r="F591" s="15" t="s">
        <v>641</v>
      </c>
      <c r="G591" s="21">
        <f>46200-17000</f>
        <v>29200</v>
      </c>
      <c r="H591" s="16" t="s">
        <v>5</v>
      </c>
      <c r="I591" s="96" t="e">
        <f>IF(Paid[[#This Row],[Currency]]="USD",Paid[[#This Row],[Montant]],Paid[[#This Row],[Montant]]/VLOOKUP(Paid[[#This Row],[Date Paid]],TableCurrencyRate[#All],2,FALSE))</f>
        <v>#N/A</v>
      </c>
    </row>
    <row r="592" spans="2:9" x14ac:dyDescent="0.2">
      <c r="B592" s="97">
        <v>43872</v>
      </c>
      <c r="C592" s="13">
        <v>43866</v>
      </c>
      <c r="D592" s="14"/>
      <c r="E592" s="14" t="s">
        <v>586</v>
      </c>
      <c r="F592" s="15" t="s">
        <v>641</v>
      </c>
      <c r="G592" s="21">
        <f>6000-1000</f>
        <v>5000</v>
      </c>
      <c r="H592" s="16" t="s">
        <v>5</v>
      </c>
      <c r="I592" s="96" t="e">
        <f>IF(Paid[[#This Row],[Currency]]="USD",Paid[[#This Row],[Montant]],Paid[[#This Row],[Montant]]/VLOOKUP(Paid[[#This Row],[Date Paid]],TableCurrencyRate[#All],2,FALSE))</f>
        <v>#N/A</v>
      </c>
    </row>
    <row r="593" spans="2:9" x14ac:dyDescent="0.2">
      <c r="B593" s="97">
        <v>43872</v>
      </c>
      <c r="C593" s="13">
        <v>43860</v>
      </c>
      <c r="D593" s="14"/>
      <c r="E593" s="14" t="s">
        <v>333</v>
      </c>
      <c r="F593" s="15" t="s">
        <v>642</v>
      </c>
      <c r="G593" s="21">
        <f>59100-55900</f>
        <v>3200</v>
      </c>
      <c r="H593" s="16" t="s">
        <v>5</v>
      </c>
      <c r="I593" s="96" t="e">
        <f>IF(Paid[[#This Row],[Currency]]="USD",Paid[[#This Row],[Montant]],Paid[[#This Row],[Montant]]/VLOOKUP(Paid[[#This Row],[Date Paid]],TableCurrencyRate[#All],2,FALSE))</f>
        <v>#N/A</v>
      </c>
    </row>
    <row r="594" spans="2:9" x14ac:dyDescent="0.2">
      <c r="B594" s="97">
        <v>43872</v>
      </c>
      <c r="C594" s="13">
        <v>43867</v>
      </c>
      <c r="D594" s="14"/>
      <c r="E594" s="14" t="s">
        <v>624</v>
      </c>
      <c r="F594" s="15" t="s">
        <v>643</v>
      </c>
      <c r="G594" s="21">
        <f>491700-141250</f>
        <v>350450</v>
      </c>
      <c r="H594" s="16" t="s">
        <v>5</v>
      </c>
      <c r="I594" s="96" t="e">
        <f>IF(Paid[[#This Row],[Currency]]="USD",Paid[[#This Row],[Montant]],Paid[[#This Row],[Montant]]/VLOOKUP(Paid[[#This Row],[Date Paid]],TableCurrencyRate[#All],2,FALSE))</f>
        <v>#N/A</v>
      </c>
    </row>
    <row r="595" spans="2:9" x14ac:dyDescent="0.2">
      <c r="B595" s="97">
        <v>43872</v>
      </c>
      <c r="C595" s="13">
        <v>43872</v>
      </c>
      <c r="D595" s="14"/>
      <c r="E595" s="14"/>
      <c r="F595" s="15" t="s">
        <v>625</v>
      </c>
      <c r="G595" s="21">
        <v>730500</v>
      </c>
      <c r="H595" s="16" t="s">
        <v>5</v>
      </c>
      <c r="I595" s="96" t="e">
        <f>IF(Paid[[#This Row],[Currency]]="USD",Paid[[#This Row],[Montant]],Paid[[#This Row],[Montant]]/VLOOKUP(Paid[[#This Row],[Date Paid]],TableCurrencyRate[#All],2,FALSE))</f>
        <v>#N/A</v>
      </c>
    </row>
    <row r="596" spans="2:9" x14ac:dyDescent="0.2">
      <c r="B596" s="12">
        <v>43872</v>
      </c>
      <c r="C596" s="9">
        <v>43787</v>
      </c>
      <c r="D596" s="10" t="s">
        <v>324</v>
      </c>
      <c r="E596" s="10"/>
      <c r="F596" s="11" t="s">
        <v>481</v>
      </c>
      <c r="G596" s="18">
        <v>2602</v>
      </c>
      <c r="H596" s="18" t="s">
        <v>6</v>
      </c>
      <c r="I596" s="19">
        <f>IF(Paid[[#This Row],[Currency]]="USD",Paid[[#This Row],[Montant]],Paid[[#This Row],[Montant]]/VLOOKUP(Paid[[#This Row],[Date Paid]],TableCurrencyRate[#All],2,FALSE))</f>
        <v>2602</v>
      </c>
    </row>
    <row r="597" spans="2:9" x14ac:dyDescent="0.2">
      <c r="B597" s="12">
        <v>43875</v>
      </c>
      <c r="C597" s="13">
        <v>43853</v>
      </c>
      <c r="D597" s="14"/>
      <c r="E597" s="14"/>
      <c r="F597" s="15" t="s">
        <v>652</v>
      </c>
      <c r="G597" s="98">
        <v>271250</v>
      </c>
      <c r="H597" s="16" t="s">
        <v>5</v>
      </c>
      <c r="I597" s="19" t="e">
        <f>IF(Paid[[#This Row],[Currency]]="USD",Paid[[#This Row],[Montant]],Paid[[#This Row],[Montant]]/VLOOKUP(Paid[[#This Row],[Date Paid]],TableCurrencyRate[#All],2,FALSE))</f>
        <v>#N/A</v>
      </c>
    </row>
    <row r="598" spans="2:9" x14ac:dyDescent="0.2">
      <c r="B598" s="12">
        <v>43875</v>
      </c>
      <c r="C598" s="13">
        <v>43871</v>
      </c>
      <c r="D598" s="14"/>
      <c r="E598" s="14"/>
      <c r="F598" s="15" t="s">
        <v>649</v>
      </c>
      <c r="G598" s="98">
        <v>28000</v>
      </c>
      <c r="H598" s="16" t="s">
        <v>5</v>
      </c>
      <c r="I598" s="19" t="e">
        <f>IF(Paid[[#This Row],[Currency]]="USD",Paid[[#This Row],[Montant]],Paid[[#This Row],[Montant]]/VLOOKUP(Paid[[#This Row],[Date Paid]],TableCurrencyRate[#All],2,FALSE))</f>
        <v>#N/A</v>
      </c>
    </row>
    <row r="599" spans="2:9" x14ac:dyDescent="0.2">
      <c r="B599" s="12">
        <v>43875</v>
      </c>
      <c r="C599" s="9">
        <v>43857</v>
      </c>
      <c r="D599" s="10"/>
      <c r="E599" s="10"/>
      <c r="F599" s="11" t="s">
        <v>658</v>
      </c>
      <c r="G599" s="18">
        <v>700000</v>
      </c>
      <c r="H599" s="18" t="s">
        <v>5</v>
      </c>
      <c r="I599" s="19" t="e">
        <f>IF(Paid[[#This Row],[Currency]]="USD",Paid[[#This Row],[Montant]],Paid[[#This Row],[Montant]]/VLOOKUP(Paid[[#This Row],[Date Paid]],TableCurrencyRate[#All],2,FALSE))</f>
        <v>#N/A</v>
      </c>
    </row>
    <row r="600" spans="2:9" x14ac:dyDescent="0.2">
      <c r="B600" s="12">
        <v>43875</v>
      </c>
      <c r="C600" s="9">
        <v>43861</v>
      </c>
      <c r="D600" s="10"/>
      <c r="E600" s="10"/>
      <c r="F600" s="11" t="s">
        <v>656</v>
      </c>
      <c r="G600" s="18">
        <v>800000</v>
      </c>
      <c r="H600" s="18" t="s">
        <v>5</v>
      </c>
      <c r="I600" s="19" t="e">
        <f>IF(Paid[[#This Row],[Currency]]="USD",Paid[[#This Row],[Montant]],Paid[[#This Row],[Montant]]/VLOOKUP(Paid[[#This Row],[Date Paid]],TableCurrencyRate[#All],2,FALSE))</f>
        <v>#N/A</v>
      </c>
    </row>
    <row r="601" spans="2:9" x14ac:dyDescent="0.2">
      <c r="B601" s="12">
        <v>43875</v>
      </c>
      <c r="C601" s="9">
        <v>43861</v>
      </c>
      <c r="D601" s="10"/>
      <c r="E601" s="10"/>
      <c r="F601" s="11" t="s">
        <v>657</v>
      </c>
      <c r="G601" s="18">
        <v>600000</v>
      </c>
      <c r="H601" s="18" t="s">
        <v>5</v>
      </c>
      <c r="I601" s="19" t="e">
        <f>IF(Paid[[#This Row],[Currency]]="USD",Paid[[#This Row],[Montant]],Paid[[#This Row],[Montant]]/VLOOKUP(Paid[[#This Row],[Date Paid]],TableCurrencyRate[#All],2,FALSE))</f>
        <v>#N/A</v>
      </c>
    </row>
    <row r="602" spans="2:9" x14ac:dyDescent="0.2">
      <c r="B602" s="12">
        <v>43875</v>
      </c>
      <c r="C602" s="9">
        <v>43466</v>
      </c>
      <c r="D602" s="10" t="s">
        <v>279</v>
      </c>
      <c r="E602" s="10" t="s">
        <v>333</v>
      </c>
      <c r="F602" s="11" t="s">
        <v>529</v>
      </c>
      <c r="G602" s="18">
        <v>238000</v>
      </c>
      <c r="H602" s="18" t="s">
        <v>5</v>
      </c>
      <c r="I602" s="19" t="e">
        <f>IF(Paid[[#This Row],[Currency]]="USD",Paid[[#This Row],[Montant]],Paid[[#This Row],[Montant]]/VLOOKUP(Paid[[#This Row],[Date Paid]],TableCurrencyRate[#All],2,FALSE))</f>
        <v>#N/A</v>
      </c>
    </row>
    <row r="603" spans="2:9" x14ac:dyDescent="0.2">
      <c r="B603" s="12">
        <v>43875</v>
      </c>
      <c r="C603" s="9">
        <v>43466</v>
      </c>
      <c r="D603" s="10" t="s">
        <v>279</v>
      </c>
      <c r="E603" s="10" t="s">
        <v>263</v>
      </c>
      <c r="F603" s="11" t="s">
        <v>531</v>
      </c>
      <c r="G603" s="18">
        <v>309400</v>
      </c>
      <c r="H603" s="18" t="s">
        <v>5</v>
      </c>
      <c r="I603" s="19" t="e">
        <f>IF(Paid[[#This Row],[Currency]]="USD",Paid[[#This Row],[Montant]],Paid[[#This Row],[Montant]]/VLOOKUP(Paid[[#This Row],[Date Paid]],TableCurrencyRate[#All],2,FALSE))</f>
        <v>#N/A</v>
      </c>
    </row>
    <row r="604" spans="2:9" x14ac:dyDescent="0.2">
      <c r="B604" s="12">
        <v>43875</v>
      </c>
      <c r="C604" s="9">
        <v>43875</v>
      </c>
      <c r="D604" s="10"/>
      <c r="E604" s="10" t="s">
        <v>577</v>
      </c>
      <c r="F604" s="11" t="s">
        <v>685</v>
      </c>
      <c r="G604" s="18">
        <v>76400</v>
      </c>
      <c r="H604" s="18" t="s">
        <v>5</v>
      </c>
      <c r="I604" s="19" t="e">
        <f>IF(Paid[[#This Row],[Currency]]="USD",Paid[[#This Row],[Montant]],Paid[[#This Row],[Montant]]/VLOOKUP(Paid[[#This Row],[Date Paid]],TableCurrencyRate[#All],2,FALSE))</f>
        <v>#N/A</v>
      </c>
    </row>
    <row r="605" spans="2:9" x14ac:dyDescent="0.2">
      <c r="B605" s="12">
        <v>43875</v>
      </c>
      <c r="C605" s="9">
        <v>43875</v>
      </c>
      <c r="D605" s="10"/>
      <c r="E605" s="10"/>
      <c r="F605" s="11" t="s">
        <v>686</v>
      </c>
      <c r="G605" s="18">
        <v>70000</v>
      </c>
      <c r="H605" s="18" t="s">
        <v>5</v>
      </c>
      <c r="I605" s="19" t="e">
        <f>IF(Paid[[#This Row],[Currency]]="USD",Paid[[#This Row],[Montant]],Paid[[#This Row],[Montant]]/VLOOKUP(Paid[[#This Row],[Date Paid]],TableCurrencyRate[#All],2,FALSE))</f>
        <v>#N/A</v>
      </c>
    </row>
    <row r="606" spans="2:9" x14ac:dyDescent="0.2">
      <c r="B606" s="12">
        <v>43875</v>
      </c>
      <c r="C606" s="9">
        <v>43866</v>
      </c>
      <c r="D606" s="10"/>
      <c r="E606" s="10"/>
      <c r="F606" s="11" t="s">
        <v>664</v>
      </c>
      <c r="G606" s="18">
        <v>114300</v>
      </c>
      <c r="H606" s="18" t="s">
        <v>5</v>
      </c>
      <c r="I606" s="19" t="e">
        <f>IF(Paid[[#This Row],[Currency]]="USD",Paid[[#This Row],[Montant]],Paid[[#This Row],[Montant]]/VLOOKUP(Paid[[#This Row],[Date Paid]],TableCurrencyRate[#All],2,FALSE))</f>
        <v>#N/A</v>
      </c>
    </row>
    <row r="607" spans="2:9" x14ac:dyDescent="0.2">
      <c r="B607" s="12">
        <v>43875</v>
      </c>
      <c r="C607" s="9">
        <v>43875</v>
      </c>
      <c r="D607" s="10"/>
      <c r="E607" s="10"/>
      <c r="F607" s="11" t="s">
        <v>666</v>
      </c>
      <c r="G607" s="18">
        <v>98500</v>
      </c>
      <c r="H607" s="18" t="s">
        <v>5</v>
      </c>
      <c r="I607" s="19" t="e">
        <f>IF(Paid[[#This Row],[Currency]]="USD",Paid[[#This Row],[Montant]],Paid[[#This Row],[Montant]]/VLOOKUP(Paid[[#This Row],[Date Paid]],TableCurrencyRate[#All],2,FALSE))</f>
        <v>#N/A</v>
      </c>
    </row>
    <row r="608" spans="2:9" x14ac:dyDescent="0.2">
      <c r="B608" s="12">
        <v>43875</v>
      </c>
      <c r="C608" s="9">
        <v>43855</v>
      </c>
      <c r="D608" s="10"/>
      <c r="E608" s="10"/>
      <c r="F608" s="11" t="s">
        <v>660</v>
      </c>
      <c r="G608" s="18">
        <v>310000</v>
      </c>
      <c r="H608" s="18" t="s">
        <v>5</v>
      </c>
      <c r="I608" s="19" t="e">
        <f>IF(Paid[[#This Row],[Currency]]="USD",Paid[[#This Row],[Montant]],Paid[[#This Row],[Montant]]/VLOOKUP(Paid[[#This Row],[Date Paid]],TableCurrencyRate[#All],2,FALSE))</f>
        <v>#N/A</v>
      </c>
    </row>
    <row r="609" spans="2:9" x14ac:dyDescent="0.2">
      <c r="B609" s="12">
        <v>43875</v>
      </c>
      <c r="C609" s="9">
        <v>43860</v>
      </c>
      <c r="D609" s="10"/>
      <c r="E609" s="10"/>
      <c r="F609" s="11" t="s">
        <v>663</v>
      </c>
      <c r="G609" s="18">
        <v>5500</v>
      </c>
      <c r="H609" s="18" t="s">
        <v>5</v>
      </c>
      <c r="I609" s="19" t="e">
        <f>IF(Paid[[#This Row],[Currency]]="USD",Paid[[#This Row],[Montant]],Paid[[#This Row],[Montant]]/VLOOKUP(Paid[[#This Row],[Date Paid]],TableCurrencyRate[#All],2,FALSE))</f>
        <v>#N/A</v>
      </c>
    </row>
    <row r="610" spans="2:9" x14ac:dyDescent="0.2">
      <c r="B610" s="12">
        <v>43875</v>
      </c>
      <c r="C610" s="9">
        <v>43832</v>
      </c>
      <c r="D610" s="10"/>
      <c r="E610" s="10"/>
      <c r="F610" s="11" t="s">
        <v>680</v>
      </c>
      <c r="G610" s="18">
        <v>43500</v>
      </c>
      <c r="H610" s="18" t="s">
        <v>5</v>
      </c>
      <c r="I610" s="19" t="e">
        <f>IF(Paid[[#This Row],[Currency]]="USD",Paid[[#This Row],[Montant]],Paid[[#This Row],[Montant]]/VLOOKUP(Paid[[#This Row],[Date Paid]],TableCurrencyRate[#All],2,FALSE))</f>
        <v>#N/A</v>
      </c>
    </row>
    <row r="611" spans="2:9" x14ac:dyDescent="0.2">
      <c r="B611" s="12">
        <v>43875</v>
      </c>
      <c r="C611" s="9">
        <v>43874</v>
      </c>
      <c r="D611" s="10"/>
      <c r="E611" s="10" t="s">
        <v>586</v>
      </c>
      <c r="F611" s="11" t="s">
        <v>641</v>
      </c>
      <c r="G611" s="18">
        <v>33200</v>
      </c>
      <c r="H611" s="18" t="s">
        <v>5</v>
      </c>
      <c r="I611" s="19" t="e">
        <f>IF(Paid[[#This Row],[Currency]]="USD",Paid[[#This Row],[Montant]],Paid[[#This Row],[Montant]]/VLOOKUP(Paid[[#This Row],[Date Paid]],TableCurrencyRate[#All],2,FALSE))</f>
        <v>#N/A</v>
      </c>
    </row>
    <row r="612" spans="2:9" x14ac:dyDescent="0.2">
      <c r="B612" s="12">
        <v>43875</v>
      </c>
      <c r="C612" s="9">
        <v>43874</v>
      </c>
      <c r="D612" s="10"/>
      <c r="E612" s="10" t="s">
        <v>624</v>
      </c>
      <c r="F612" s="11" t="s">
        <v>646</v>
      </c>
      <c r="G612" s="18">
        <v>3465900</v>
      </c>
      <c r="H612" s="18" t="s">
        <v>5</v>
      </c>
      <c r="I612" s="19" t="e">
        <f>IF(Paid[[#This Row],[Currency]]="USD",Paid[[#This Row],[Montant]],Paid[[#This Row],[Montant]]/VLOOKUP(Paid[[#This Row],[Date Paid]],TableCurrencyRate[#All],2,FALSE))</f>
        <v>#N/A</v>
      </c>
    </row>
    <row r="613" spans="2:9" x14ac:dyDescent="0.2">
      <c r="B613" s="12">
        <v>43875</v>
      </c>
      <c r="C613" s="9">
        <v>43875</v>
      </c>
      <c r="D613" s="10"/>
      <c r="E613" s="10" t="s">
        <v>233</v>
      </c>
      <c r="F613" s="11" t="s">
        <v>647</v>
      </c>
      <c r="G613" s="18">
        <v>48450</v>
      </c>
      <c r="H613" s="18" t="s">
        <v>5</v>
      </c>
      <c r="I613" s="19" t="e">
        <f>IF(Paid[[#This Row],[Currency]]="USD",Paid[[#This Row],[Montant]],Paid[[#This Row],[Montant]]/VLOOKUP(Paid[[#This Row],[Date Paid]],TableCurrencyRate[#All],2,FALSE))</f>
        <v>#N/A</v>
      </c>
    </row>
    <row r="614" spans="2:9" x14ac:dyDescent="0.2">
      <c r="B614" s="12">
        <v>43875</v>
      </c>
      <c r="C614" s="9">
        <v>43875</v>
      </c>
      <c r="D614" s="10"/>
      <c r="E614" s="10" t="s">
        <v>650</v>
      </c>
      <c r="F614" s="11" t="s">
        <v>651</v>
      </c>
      <c r="G614" s="18">
        <v>270900</v>
      </c>
      <c r="H614" s="18" t="s">
        <v>5</v>
      </c>
      <c r="I614" s="19" t="e">
        <f>IF(Paid[[#This Row],[Currency]]="USD",Paid[[#This Row],[Montant]],Paid[[#This Row],[Montant]]/VLOOKUP(Paid[[#This Row],[Date Paid]],TableCurrencyRate[#All],2,FALSE))</f>
        <v>#N/A</v>
      </c>
    </row>
    <row r="615" spans="2:9" x14ac:dyDescent="0.2">
      <c r="B615" s="12">
        <v>43875</v>
      </c>
      <c r="C615" s="9">
        <v>43834</v>
      </c>
      <c r="D615" s="10"/>
      <c r="E615" s="10"/>
      <c r="F615" s="11" t="s">
        <v>17</v>
      </c>
      <c r="G615" s="18">
        <f>200000+1565</f>
        <v>201565</v>
      </c>
      <c r="H615" s="18" t="s">
        <v>5</v>
      </c>
      <c r="I615" s="19" t="e">
        <f>IF(Paid[[#This Row],[Currency]]="USD",Paid[[#This Row],[Montant]],Paid[[#This Row],[Montant]]/VLOOKUP(Paid[[#This Row],[Date Paid]],TableCurrencyRate[#All],2,FALSE))</f>
        <v>#N/A</v>
      </c>
    </row>
    <row r="616" spans="2:9" x14ac:dyDescent="0.2">
      <c r="B616" s="12">
        <v>43875</v>
      </c>
      <c r="C616" s="9">
        <v>43861</v>
      </c>
      <c r="D616" s="10"/>
      <c r="E616" s="10"/>
      <c r="F616" s="11" t="s">
        <v>644</v>
      </c>
      <c r="G616" s="18">
        <v>620000</v>
      </c>
      <c r="H616" s="18" t="s">
        <v>5</v>
      </c>
      <c r="I616" s="19" t="e">
        <f>IF(Paid[[#This Row],[Currency]]="USD",Paid[[#This Row],[Montant]],Paid[[#This Row],[Montant]]/VLOOKUP(Paid[[#This Row],[Date Paid]],TableCurrencyRate[#All],2,FALSE))</f>
        <v>#N/A</v>
      </c>
    </row>
    <row r="617" spans="2:9" x14ac:dyDescent="0.2">
      <c r="B617" s="12">
        <v>43875</v>
      </c>
      <c r="C617" s="9">
        <v>43867</v>
      </c>
      <c r="D617" s="10"/>
      <c r="E617" s="10"/>
      <c r="F617" s="11" t="s">
        <v>662</v>
      </c>
      <c r="G617" s="18">
        <v>182000</v>
      </c>
      <c r="H617" s="18" t="s">
        <v>5</v>
      </c>
      <c r="I617" s="19" t="e">
        <f>IF(Paid[[#This Row],[Currency]]="USD",Paid[[#This Row],[Montant]],Paid[[#This Row],[Montant]]/VLOOKUP(Paid[[#This Row],[Date Paid]],TableCurrencyRate[#All],2,FALSE))</f>
        <v>#N/A</v>
      </c>
    </row>
    <row r="618" spans="2:9" x14ac:dyDescent="0.2">
      <c r="B618" s="12">
        <v>43875</v>
      </c>
      <c r="C618" s="9">
        <v>43843</v>
      </c>
      <c r="D618" s="10"/>
      <c r="E618" s="10"/>
      <c r="F618" s="11" t="s">
        <v>662</v>
      </c>
      <c r="G618" s="18">
        <v>396535</v>
      </c>
      <c r="H618" s="18" t="s">
        <v>5</v>
      </c>
      <c r="I618" s="19" t="e">
        <f>IF(Paid[[#This Row],[Currency]]="USD",Paid[[#This Row],[Montant]],Paid[[#This Row],[Montant]]/VLOOKUP(Paid[[#This Row],[Date Paid]],TableCurrencyRate[#All],2,FALSE))</f>
        <v>#N/A</v>
      </c>
    </row>
    <row r="619" spans="2:9" x14ac:dyDescent="0.2">
      <c r="B619" s="12">
        <v>43875</v>
      </c>
      <c r="C619" s="9">
        <v>43866</v>
      </c>
      <c r="D619" s="10"/>
      <c r="E619" s="10"/>
      <c r="F619" s="11" t="s">
        <v>670</v>
      </c>
      <c r="G619" s="18">
        <v>25000</v>
      </c>
      <c r="H619" s="18" t="s">
        <v>5</v>
      </c>
      <c r="I619" s="19" t="e">
        <f>IF(Paid[[#This Row],[Currency]]="USD",Paid[[#This Row],[Montant]],Paid[[#This Row],[Montant]]/VLOOKUP(Paid[[#This Row],[Date Paid]],TableCurrencyRate[#All],2,FALSE))</f>
        <v>#N/A</v>
      </c>
    </row>
    <row r="620" spans="2:9" x14ac:dyDescent="0.2">
      <c r="B620" s="12">
        <v>43875</v>
      </c>
      <c r="C620" s="9">
        <v>43865</v>
      </c>
      <c r="D620" s="10"/>
      <c r="E620" s="10"/>
      <c r="F620" s="11" t="s">
        <v>671</v>
      </c>
      <c r="G620" s="18">
        <v>28000</v>
      </c>
      <c r="H620" s="18" t="s">
        <v>5</v>
      </c>
      <c r="I620" s="19" t="e">
        <f>IF(Paid[[#This Row],[Currency]]="USD",Paid[[#This Row],[Montant]],Paid[[#This Row],[Montant]]/VLOOKUP(Paid[[#This Row],[Date Paid]],TableCurrencyRate[#All],2,FALSE))</f>
        <v>#N/A</v>
      </c>
    </row>
    <row r="621" spans="2:9" x14ac:dyDescent="0.2">
      <c r="B621" s="12">
        <v>43875</v>
      </c>
      <c r="C621" s="9">
        <v>43871</v>
      </c>
      <c r="D621" s="10"/>
      <c r="E621" s="10"/>
      <c r="F621" s="11" t="s">
        <v>89</v>
      </c>
      <c r="G621" s="18">
        <v>37600</v>
      </c>
      <c r="H621" s="18" t="s">
        <v>5</v>
      </c>
      <c r="I621" s="19" t="e">
        <f>IF(Paid[[#This Row],[Currency]]="USD",Paid[[#This Row],[Montant]],Paid[[#This Row],[Montant]]/VLOOKUP(Paid[[#This Row],[Date Paid]],TableCurrencyRate[#All],2,FALSE))</f>
        <v>#N/A</v>
      </c>
    </row>
    <row r="622" spans="2:9" x14ac:dyDescent="0.2">
      <c r="B622" s="12">
        <v>43875</v>
      </c>
      <c r="C622" s="9">
        <v>43874</v>
      </c>
      <c r="D622" s="10"/>
      <c r="E622" s="10" t="s">
        <v>624</v>
      </c>
      <c r="F622" s="11" t="s">
        <v>645</v>
      </c>
      <c r="G622" s="18">
        <v>43500</v>
      </c>
      <c r="H622" s="18" t="s">
        <v>5</v>
      </c>
      <c r="I622" s="19" t="e">
        <f>IF(Paid[[#This Row],[Currency]]="USD",Paid[[#This Row],[Montant]],Paid[[#This Row],[Montant]]/VLOOKUP(Paid[[#This Row],[Date Paid]],TableCurrencyRate[#All],2,FALSE))</f>
        <v>#N/A</v>
      </c>
    </row>
    <row r="623" spans="2:9" x14ac:dyDescent="0.2">
      <c r="B623" s="12">
        <v>43875</v>
      </c>
      <c r="C623" s="9">
        <v>43861</v>
      </c>
      <c r="D623" s="10"/>
      <c r="E623" s="10"/>
      <c r="F623" s="11" t="s">
        <v>665</v>
      </c>
      <c r="G623" s="18">
        <v>32100</v>
      </c>
      <c r="H623" s="18" t="s">
        <v>5</v>
      </c>
      <c r="I623" s="19" t="e">
        <f>IF(Paid[[#This Row],[Currency]]="USD",Paid[[#This Row],[Montant]],Paid[[#This Row],[Montant]]/VLOOKUP(Paid[[#This Row],[Date Paid]],TableCurrencyRate[#All],2,FALSE))</f>
        <v>#N/A</v>
      </c>
    </row>
    <row r="624" spans="2:9" x14ac:dyDescent="0.2">
      <c r="B624" s="12">
        <v>43875</v>
      </c>
      <c r="C624" s="9">
        <v>43868</v>
      </c>
      <c r="D624" s="10"/>
      <c r="E624" s="10"/>
      <c r="F624" s="11" t="s">
        <v>684</v>
      </c>
      <c r="G624" s="18">
        <v>27600</v>
      </c>
      <c r="H624" s="18" t="s">
        <v>5</v>
      </c>
      <c r="I624" s="19" t="e">
        <f>IF(Paid[[#This Row],[Currency]]="USD",Paid[[#This Row],[Montant]],Paid[[#This Row],[Montant]]/VLOOKUP(Paid[[#This Row],[Date Paid]],TableCurrencyRate[#All],2,FALSE))</f>
        <v>#N/A</v>
      </c>
    </row>
    <row r="625" spans="2:9" x14ac:dyDescent="0.2">
      <c r="B625" s="12">
        <v>43875</v>
      </c>
      <c r="C625" s="9">
        <v>43867</v>
      </c>
      <c r="D625" s="10"/>
      <c r="E625" s="10"/>
      <c r="F625" s="11" t="s">
        <v>679</v>
      </c>
      <c r="G625" s="18">
        <v>46000</v>
      </c>
      <c r="H625" s="18" t="s">
        <v>5</v>
      </c>
      <c r="I625" s="19" t="e">
        <f>IF(Paid[[#This Row],[Currency]]="USD",Paid[[#This Row],[Montant]],Paid[[#This Row],[Montant]]/VLOOKUP(Paid[[#This Row],[Date Paid]],TableCurrencyRate[#All],2,FALSE))</f>
        <v>#N/A</v>
      </c>
    </row>
    <row r="626" spans="2:9" x14ac:dyDescent="0.2">
      <c r="B626" s="12">
        <v>43875</v>
      </c>
      <c r="C626" s="9">
        <v>43875</v>
      </c>
      <c r="D626" s="10"/>
      <c r="E626" s="10"/>
      <c r="F626" s="11" t="s">
        <v>668</v>
      </c>
      <c r="G626" s="18">
        <v>41000</v>
      </c>
      <c r="H626" s="18" t="s">
        <v>5</v>
      </c>
      <c r="I626" s="19" t="e">
        <f>IF(Paid[[#This Row],[Currency]]="USD",Paid[[#This Row],[Montant]],Paid[[#This Row],[Montant]]/VLOOKUP(Paid[[#This Row],[Date Paid]],TableCurrencyRate[#All],2,FALSE))</f>
        <v>#N/A</v>
      </c>
    </row>
    <row r="627" spans="2:9" x14ac:dyDescent="0.2">
      <c r="B627" s="12">
        <v>43875</v>
      </c>
      <c r="C627" s="9">
        <v>43871</v>
      </c>
      <c r="D627" s="10"/>
      <c r="E627" s="10"/>
      <c r="F627" s="11" t="s">
        <v>682</v>
      </c>
      <c r="G627" s="18">
        <v>37000</v>
      </c>
      <c r="H627" s="18" t="s">
        <v>5</v>
      </c>
      <c r="I627" s="19" t="e">
        <f>IF(Paid[[#This Row],[Currency]]="USD",Paid[[#This Row],[Montant]],Paid[[#This Row],[Montant]]/VLOOKUP(Paid[[#This Row],[Date Paid]],TableCurrencyRate[#All],2,FALSE))</f>
        <v>#N/A</v>
      </c>
    </row>
    <row r="628" spans="2:9" x14ac:dyDescent="0.2">
      <c r="B628" s="12">
        <v>43875</v>
      </c>
      <c r="C628" s="9">
        <v>43867</v>
      </c>
      <c r="D628" s="10"/>
      <c r="E628" s="10"/>
      <c r="F628" s="11" t="s">
        <v>672</v>
      </c>
      <c r="G628" s="18">
        <v>37000</v>
      </c>
      <c r="H628" s="18" t="s">
        <v>5</v>
      </c>
      <c r="I628" s="19" t="e">
        <f>IF(Paid[[#This Row],[Currency]]="USD",Paid[[#This Row],[Montant]],Paid[[#This Row],[Montant]]/VLOOKUP(Paid[[#This Row],[Date Paid]],TableCurrencyRate[#All],2,FALSE))</f>
        <v>#N/A</v>
      </c>
    </row>
    <row r="629" spans="2:9" x14ac:dyDescent="0.2">
      <c r="B629" s="12">
        <v>43875</v>
      </c>
      <c r="C629" s="9">
        <v>43867</v>
      </c>
      <c r="D629" s="10"/>
      <c r="E629" s="10"/>
      <c r="F629" s="11" t="s">
        <v>669</v>
      </c>
      <c r="G629" s="18">
        <v>41000</v>
      </c>
      <c r="H629" s="18" t="s">
        <v>5</v>
      </c>
      <c r="I629" s="19" t="e">
        <f>IF(Paid[[#This Row],[Currency]]="USD",Paid[[#This Row],[Montant]],Paid[[#This Row],[Montant]]/VLOOKUP(Paid[[#This Row],[Date Paid]],TableCurrencyRate[#All],2,FALSE))</f>
        <v>#N/A</v>
      </c>
    </row>
    <row r="630" spans="2:9" x14ac:dyDescent="0.2">
      <c r="B630" s="12">
        <v>43875</v>
      </c>
      <c r="C630" s="9">
        <v>43871</v>
      </c>
      <c r="D630" s="10"/>
      <c r="E630" s="10"/>
      <c r="F630" s="11" t="s">
        <v>681</v>
      </c>
      <c r="G630" s="18">
        <v>38000</v>
      </c>
      <c r="H630" s="18" t="s">
        <v>5</v>
      </c>
      <c r="I630" s="19" t="e">
        <f>IF(Paid[[#This Row],[Currency]]="USD",Paid[[#This Row],[Montant]],Paid[[#This Row],[Montant]]/VLOOKUP(Paid[[#This Row],[Date Paid]],TableCurrencyRate[#All],2,FALSE))</f>
        <v>#N/A</v>
      </c>
    </row>
    <row r="631" spans="2:9" x14ac:dyDescent="0.2">
      <c r="B631" s="12">
        <v>43875</v>
      </c>
      <c r="C631" s="9">
        <v>43868</v>
      </c>
      <c r="D631" s="10"/>
      <c r="E631" s="10"/>
      <c r="F631" s="11" t="s">
        <v>667</v>
      </c>
      <c r="G631" s="18">
        <v>41000</v>
      </c>
      <c r="H631" s="18" t="s">
        <v>5</v>
      </c>
      <c r="I631" s="19" t="e">
        <f>IF(Paid[[#This Row],[Currency]]="USD",Paid[[#This Row],[Montant]],Paid[[#This Row],[Montant]]/VLOOKUP(Paid[[#This Row],[Date Paid]],TableCurrencyRate[#All],2,FALSE))</f>
        <v>#N/A</v>
      </c>
    </row>
    <row r="632" spans="2:9" x14ac:dyDescent="0.2">
      <c r="B632" s="12">
        <v>43875</v>
      </c>
      <c r="C632" s="9">
        <v>43867</v>
      </c>
      <c r="D632" s="10"/>
      <c r="E632" s="10"/>
      <c r="F632" s="11" t="s">
        <v>673</v>
      </c>
      <c r="G632" s="18">
        <v>12000</v>
      </c>
      <c r="H632" s="18" t="s">
        <v>5</v>
      </c>
      <c r="I632" s="19" t="e">
        <f>IF(Paid[[#This Row],[Currency]]="USD",Paid[[#This Row],[Montant]],Paid[[#This Row],[Montant]]/VLOOKUP(Paid[[#This Row],[Date Paid]],TableCurrencyRate[#All],2,FALSE))</f>
        <v>#N/A</v>
      </c>
    </row>
    <row r="633" spans="2:9" x14ac:dyDescent="0.2">
      <c r="B633" s="12">
        <v>43875</v>
      </c>
      <c r="C633" s="9">
        <v>43867</v>
      </c>
      <c r="D633" s="10"/>
      <c r="E633" s="10"/>
      <c r="F633" s="11" t="s">
        <v>674</v>
      </c>
      <c r="G633" s="18">
        <v>12000</v>
      </c>
      <c r="H633" s="18" t="s">
        <v>5</v>
      </c>
      <c r="I633" s="19" t="e">
        <f>IF(Paid[[#This Row],[Currency]]="USD",Paid[[#This Row],[Montant]],Paid[[#This Row],[Montant]]/VLOOKUP(Paid[[#This Row],[Date Paid]],TableCurrencyRate[#All],2,FALSE))</f>
        <v>#N/A</v>
      </c>
    </row>
    <row r="634" spans="2:9" x14ac:dyDescent="0.2">
      <c r="B634" s="12">
        <v>43875</v>
      </c>
      <c r="C634" s="9">
        <v>43867</v>
      </c>
      <c r="D634" s="10"/>
      <c r="E634" s="10"/>
      <c r="F634" s="11" t="s">
        <v>675</v>
      </c>
      <c r="G634" s="18">
        <v>12000</v>
      </c>
      <c r="H634" s="18" t="s">
        <v>5</v>
      </c>
      <c r="I634" s="19" t="e">
        <f>IF(Paid[[#This Row],[Currency]]="USD",Paid[[#This Row],[Montant]],Paid[[#This Row],[Montant]]/VLOOKUP(Paid[[#This Row],[Date Paid]],TableCurrencyRate[#All],2,FALSE))</f>
        <v>#N/A</v>
      </c>
    </row>
    <row r="635" spans="2:9" x14ac:dyDescent="0.2">
      <c r="B635" s="12">
        <v>43875</v>
      </c>
      <c r="C635" s="9">
        <v>43867</v>
      </c>
      <c r="D635" s="10"/>
      <c r="E635" s="10"/>
      <c r="F635" s="11" t="s">
        <v>676</v>
      </c>
      <c r="G635" s="18">
        <v>12000</v>
      </c>
      <c r="H635" s="18" t="s">
        <v>5</v>
      </c>
      <c r="I635" s="19" t="e">
        <f>IF(Paid[[#This Row],[Currency]]="USD",Paid[[#This Row],[Montant]],Paid[[#This Row],[Montant]]/VLOOKUP(Paid[[#This Row],[Date Paid]],TableCurrencyRate[#All],2,FALSE))</f>
        <v>#N/A</v>
      </c>
    </row>
    <row r="636" spans="2:9" x14ac:dyDescent="0.2">
      <c r="B636" s="12">
        <v>43875</v>
      </c>
      <c r="C636" s="9">
        <v>43867</v>
      </c>
      <c r="D636" s="10"/>
      <c r="E636" s="10"/>
      <c r="F636" s="11" t="s">
        <v>677</v>
      </c>
      <c r="G636" s="18">
        <v>12000</v>
      </c>
      <c r="H636" s="18" t="s">
        <v>5</v>
      </c>
      <c r="I636" s="19" t="e">
        <f>IF(Paid[[#This Row],[Currency]]="USD",Paid[[#This Row],[Montant]],Paid[[#This Row],[Montant]]/VLOOKUP(Paid[[#This Row],[Date Paid]],TableCurrencyRate[#All],2,FALSE))</f>
        <v>#N/A</v>
      </c>
    </row>
    <row r="637" spans="2:9" x14ac:dyDescent="0.2">
      <c r="B637" s="12">
        <v>43875</v>
      </c>
      <c r="C637" s="9">
        <v>43867</v>
      </c>
      <c r="D637" s="10"/>
      <c r="E637" s="10"/>
      <c r="F637" s="11" t="s">
        <v>678</v>
      </c>
      <c r="G637" s="18">
        <v>12000</v>
      </c>
      <c r="H637" s="18" t="s">
        <v>5</v>
      </c>
      <c r="I637" s="19" t="e">
        <f>IF(Paid[[#This Row],[Currency]]="USD",Paid[[#This Row],[Montant]],Paid[[#This Row],[Montant]]/VLOOKUP(Paid[[#This Row],[Date Paid]],TableCurrencyRate[#All],2,FALSE))</f>
        <v>#N/A</v>
      </c>
    </row>
    <row r="638" spans="2:9" x14ac:dyDescent="0.2">
      <c r="B638" s="12">
        <v>43875</v>
      </c>
      <c r="C638" s="9">
        <v>43861</v>
      </c>
      <c r="D638" s="10"/>
      <c r="E638" s="10"/>
      <c r="F638" s="11" t="s">
        <v>659</v>
      </c>
      <c r="G638" s="18">
        <v>748200</v>
      </c>
      <c r="H638" s="18" t="s">
        <v>5</v>
      </c>
      <c r="I638" s="19" t="e">
        <f>IF(Paid[[#This Row],[Currency]]="USD",Paid[[#This Row],[Montant]],Paid[[#This Row],[Montant]]/VLOOKUP(Paid[[#This Row],[Date Paid]],TableCurrencyRate[#All],2,FALSE))</f>
        <v>#N/A</v>
      </c>
    </row>
    <row r="639" spans="2:9" x14ac:dyDescent="0.2">
      <c r="B639" s="12">
        <v>43875</v>
      </c>
      <c r="C639" s="9">
        <v>43864</v>
      </c>
      <c r="D639" s="10"/>
      <c r="E639" s="10"/>
      <c r="F639" s="11" t="s">
        <v>654</v>
      </c>
      <c r="G639" s="18">
        <v>1446113</v>
      </c>
      <c r="H639" s="18" t="s">
        <v>5</v>
      </c>
      <c r="I639" s="19" t="e">
        <f>IF(Paid[[#This Row],[Currency]]="USD",Paid[[#This Row],[Montant]],Paid[[#This Row],[Montant]]/VLOOKUP(Paid[[#This Row],[Date Paid]],TableCurrencyRate[#All],2,FALSE))</f>
        <v>#N/A</v>
      </c>
    </row>
    <row r="640" spans="2:9" x14ac:dyDescent="0.2">
      <c r="B640" s="12">
        <v>43875</v>
      </c>
      <c r="C640" s="9">
        <v>43861</v>
      </c>
      <c r="D640" s="10"/>
      <c r="E640" s="10"/>
      <c r="F640" s="11" t="s">
        <v>653</v>
      </c>
      <c r="G640" s="18">
        <v>150000</v>
      </c>
      <c r="H640" s="18" t="s">
        <v>5</v>
      </c>
      <c r="I640" s="19" t="e">
        <f>IF(Paid[[#This Row],[Currency]]="USD",Paid[[#This Row],[Montant]],Paid[[#This Row],[Montant]]/VLOOKUP(Paid[[#This Row],[Date Paid]],TableCurrencyRate[#All],2,FALSE))</f>
        <v>#N/A</v>
      </c>
    </row>
    <row r="641" spans="2:9" x14ac:dyDescent="0.2">
      <c r="B641" s="12">
        <v>43875</v>
      </c>
      <c r="C641" s="9">
        <v>43868</v>
      </c>
      <c r="D641" s="10"/>
      <c r="E641" s="10" t="s">
        <v>411</v>
      </c>
      <c r="F641" s="11" t="s">
        <v>648</v>
      </c>
      <c r="G641" s="18">
        <v>150000</v>
      </c>
      <c r="H641" s="18" t="s">
        <v>5</v>
      </c>
      <c r="I641" s="19" t="e">
        <f>IF(Paid[[#This Row],[Currency]]="USD",Paid[[#This Row],[Montant]],Paid[[#This Row],[Montant]]/VLOOKUP(Paid[[#This Row],[Date Paid]],TableCurrencyRate[#All],2,FALSE))</f>
        <v>#N/A</v>
      </c>
    </row>
    <row r="642" spans="2:9" x14ac:dyDescent="0.2">
      <c r="B642" s="12">
        <v>43875</v>
      </c>
      <c r="C642" s="9">
        <v>43488</v>
      </c>
      <c r="D642" s="10" t="s">
        <v>9</v>
      </c>
      <c r="E642" s="10" t="s">
        <v>333</v>
      </c>
      <c r="F642" s="11" t="s">
        <v>456</v>
      </c>
      <c r="G642" s="18">
        <v>589778.69999999995</v>
      </c>
      <c r="H642" s="18" t="s">
        <v>5</v>
      </c>
      <c r="I642" s="19" t="e">
        <f>IF(Paid[[#This Row],[Currency]]="USD",Paid[[#This Row],[Montant]],Paid[[#This Row],[Montant]]/VLOOKUP(Paid[[#This Row],[Date Paid]],TableCurrencyRate[#All],2,FALSE))</f>
        <v>#N/A</v>
      </c>
    </row>
    <row r="643" spans="2:9" x14ac:dyDescent="0.2">
      <c r="B643" s="12">
        <v>43875</v>
      </c>
      <c r="C643" s="9">
        <v>43864</v>
      </c>
      <c r="D643" s="10"/>
      <c r="E643" s="10"/>
      <c r="F643" s="11" t="s">
        <v>661</v>
      </c>
      <c r="G643" s="18">
        <v>163250</v>
      </c>
      <c r="H643" s="18" t="s">
        <v>5</v>
      </c>
      <c r="I643" s="19" t="e">
        <f>IF(Paid[[#This Row],[Currency]]="USD",Paid[[#This Row],[Montant]],Paid[[#This Row],[Montant]]/VLOOKUP(Paid[[#This Row],[Date Paid]],TableCurrencyRate[#All],2,FALSE))</f>
        <v>#N/A</v>
      </c>
    </row>
    <row r="644" spans="2:9" x14ac:dyDescent="0.2">
      <c r="B644" s="12">
        <v>43878</v>
      </c>
      <c r="C644" s="9">
        <v>43878</v>
      </c>
      <c r="D644" s="10"/>
      <c r="E644" s="10" t="s">
        <v>624</v>
      </c>
      <c r="F644" s="11" t="s">
        <v>687</v>
      </c>
      <c r="G644" s="18">
        <v>153000</v>
      </c>
      <c r="H644" s="18" t="s">
        <v>5</v>
      </c>
      <c r="I644" s="19" t="e">
        <f>IF(Paid[[#This Row],[Currency]]="USD",Paid[[#This Row],[Montant]],Paid[[#This Row],[Montant]]/VLOOKUP(Paid[[#This Row],[Date Paid]],TableCurrencyRate[#All],2,FALSE))</f>
        <v>#N/A</v>
      </c>
    </row>
    <row r="645" spans="2:9" x14ac:dyDescent="0.2">
      <c r="B645" s="12">
        <v>43878</v>
      </c>
      <c r="C645" s="9">
        <v>43878</v>
      </c>
      <c r="D645" s="10"/>
      <c r="E645" s="10" t="s">
        <v>624</v>
      </c>
      <c r="F645" s="11" t="s">
        <v>688</v>
      </c>
      <c r="G645" s="18">
        <v>828000</v>
      </c>
      <c r="H645" s="18" t="s">
        <v>5</v>
      </c>
      <c r="I645" s="19" t="e">
        <f>IF(Paid[[#This Row],[Currency]]="USD",Paid[[#This Row],[Montant]],Paid[[#This Row],[Montant]]/VLOOKUP(Paid[[#This Row],[Date Paid]],TableCurrencyRate[#All],2,FALSE))</f>
        <v>#N/A</v>
      </c>
    </row>
    <row r="646" spans="2:9" x14ac:dyDescent="0.2">
      <c r="B646" s="12">
        <v>43878</v>
      </c>
      <c r="C646" s="9">
        <v>43878</v>
      </c>
      <c r="D646" s="10"/>
      <c r="E646" s="10" t="s">
        <v>624</v>
      </c>
      <c r="F646" s="11" t="s">
        <v>689</v>
      </c>
      <c r="G646" s="18">
        <v>90000</v>
      </c>
      <c r="H646" s="18" t="s">
        <v>5</v>
      </c>
      <c r="I646" s="19" t="e">
        <f>IF(Paid[[#This Row],[Currency]]="USD",Paid[[#This Row],[Montant]],Paid[[#This Row],[Montant]]/VLOOKUP(Paid[[#This Row],[Date Paid]],TableCurrencyRate[#All],2,FALSE))</f>
        <v>#N/A</v>
      </c>
    </row>
    <row r="647" spans="2:9" x14ac:dyDescent="0.2">
      <c r="B647" s="12">
        <v>43878</v>
      </c>
      <c r="C647" s="9">
        <v>43878</v>
      </c>
      <c r="D647" s="10"/>
      <c r="E647" s="10"/>
      <c r="F647" s="11" t="s">
        <v>690</v>
      </c>
      <c r="G647" s="18">
        <v>877</v>
      </c>
      <c r="H647" s="18" t="s">
        <v>6</v>
      </c>
      <c r="I647" s="19">
        <f>IF(Paid[[#This Row],[Currency]]="USD",Paid[[#This Row],[Montant]],Paid[[#This Row],[Montant]]/VLOOKUP(Paid[[#This Row],[Date Paid]],TableCurrencyRate[#All],2,FALSE))</f>
        <v>877</v>
      </c>
    </row>
    <row r="648" spans="2:9" x14ac:dyDescent="0.2">
      <c r="B648" s="12">
        <v>43880</v>
      </c>
      <c r="C648" s="9">
        <v>43880</v>
      </c>
      <c r="D648" s="10"/>
      <c r="E648" s="10"/>
      <c r="F648" s="11" t="s">
        <v>700</v>
      </c>
      <c r="G648" s="18">
        <v>90411</v>
      </c>
      <c r="H648" s="18" t="s">
        <v>5</v>
      </c>
      <c r="I648" s="19" t="e">
        <f>IF(Paid[[#This Row],[Currency]]="USD",Paid[[#This Row],[Montant]],Paid[[#This Row],[Montant]]/VLOOKUP(Paid[[#This Row],[Date Paid]],TableCurrencyRate[#All],2,FALSE))</f>
        <v>#N/A</v>
      </c>
    </row>
    <row r="649" spans="2:9" x14ac:dyDescent="0.2">
      <c r="B649" s="12">
        <v>43882</v>
      </c>
      <c r="C649" s="9">
        <v>43882</v>
      </c>
      <c r="D649" s="10" t="s">
        <v>324</v>
      </c>
      <c r="E649" s="10"/>
      <c r="F649" s="11" t="s">
        <v>701</v>
      </c>
      <c r="G649" s="18">
        <v>2200</v>
      </c>
      <c r="H649" s="18" t="s">
        <v>6</v>
      </c>
      <c r="I649" s="19">
        <f>IF(Paid[[#This Row],[Currency]]="USD",Paid[[#This Row],[Montant]],Paid[[#This Row],[Montant]]/VLOOKUP(Paid[[#This Row],[Date Paid]],TableCurrencyRate[#All],2,FALSE))</f>
        <v>2200</v>
      </c>
    </row>
    <row r="650" spans="2:9" x14ac:dyDescent="0.2">
      <c r="B650" s="12">
        <v>43883</v>
      </c>
      <c r="C650" s="13">
        <v>43875</v>
      </c>
      <c r="D650" s="14"/>
      <c r="E650" s="14"/>
      <c r="F650" s="15" t="s">
        <v>691</v>
      </c>
      <c r="G650" s="21">
        <f>569000-20300</f>
        <v>548700</v>
      </c>
      <c r="H650" s="16" t="s">
        <v>5</v>
      </c>
      <c r="I650" s="19" t="e">
        <f>IF(Paid[[#This Row],[Currency]]="USD",Paid[[#This Row],[Montant]],Paid[[#This Row],[Montant]]/VLOOKUP(Paid[[#This Row],[Date Paid]],TableCurrencyRate[#All],2,FALSE))</f>
        <v>#N/A</v>
      </c>
    </row>
    <row r="651" spans="2:9" x14ac:dyDescent="0.2">
      <c r="B651" s="12">
        <v>43883</v>
      </c>
      <c r="C651" s="13">
        <v>43880</v>
      </c>
      <c r="D651" s="14"/>
      <c r="E651" s="14"/>
      <c r="F651" s="15" t="s">
        <v>698</v>
      </c>
      <c r="G651" s="21">
        <v>17450</v>
      </c>
      <c r="H651" s="16" t="s">
        <v>5</v>
      </c>
      <c r="I651" s="19" t="e">
        <f>IF(Paid[[#This Row],[Currency]]="USD",Paid[[#This Row],[Montant]],Paid[[#This Row],[Montant]]/VLOOKUP(Paid[[#This Row],[Date Paid]],TableCurrencyRate[#All],2,FALSE))</f>
        <v>#N/A</v>
      </c>
    </row>
    <row r="652" spans="2:9" x14ac:dyDescent="0.2">
      <c r="B652" s="12">
        <v>43883</v>
      </c>
      <c r="C652" s="9">
        <v>43875</v>
      </c>
      <c r="D652" s="10"/>
      <c r="E652" s="10"/>
      <c r="F652" s="11" t="s">
        <v>693</v>
      </c>
      <c r="G652" s="18">
        <f>966000-790000</f>
        <v>176000</v>
      </c>
      <c r="H652" s="18" t="s">
        <v>5</v>
      </c>
      <c r="I652" s="19" t="e">
        <f>IF(Paid[[#This Row],[Currency]]="USD",Paid[[#This Row],[Montant]],Paid[[#This Row],[Montant]]/VLOOKUP(Paid[[#This Row],[Date Paid]],TableCurrencyRate[#All],2,FALSE))</f>
        <v>#N/A</v>
      </c>
    </row>
    <row r="653" spans="2:9" x14ac:dyDescent="0.2">
      <c r="B653" s="12">
        <v>43883</v>
      </c>
      <c r="C653" s="9">
        <v>43880</v>
      </c>
      <c r="D653" s="10"/>
      <c r="E653" s="10"/>
      <c r="F653" s="11" t="s">
        <v>697</v>
      </c>
      <c r="G653" s="18">
        <v>5300</v>
      </c>
      <c r="H653" s="18" t="s">
        <v>5</v>
      </c>
      <c r="I653" s="19" t="e">
        <f>IF(Paid[[#This Row],[Currency]]="USD",Paid[[#This Row],[Montant]],Paid[[#This Row],[Montant]]/VLOOKUP(Paid[[#This Row],[Date Paid]],TableCurrencyRate[#All],2,FALSE))</f>
        <v>#N/A</v>
      </c>
    </row>
    <row r="654" spans="2:9" x14ac:dyDescent="0.2">
      <c r="B654" s="12">
        <v>43883</v>
      </c>
      <c r="C654" s="9">
        <v>43880</v>
      </c>
      <c r="D654" s="10"/>
      <c r="E654" s="10"/>
      <c r="F654" s="11" t="s">
        <v>129</v>
      </c>
      <c r="G654" s="18">
        <v>17400</v>
      </c>
      <c r="H654" s="18" t="s">
        <v>5</v>
      </c>
      <c r="I654" s="19" t="e">
        <f>IF(Paid[[#This Row],[Currency]]="USD",Paid[[#This Row],[Montant]],Paid[[#This Row],[Montant]]/VLOOKUP(Paid[[#This Row],[Date Paid]],TableCurrencyRate[#All],2,FALSE))</f>
        <v>#N/A</v>
      </c>
    </row>
    <row r="655" spans="2:9" x14ac:dyDescent="0.2">
      <c r="B655" s="12">
        <v>43883</v>
      </c>
      <c r="C655" s="9">
        <v>43864</v>
      </c>
      <c r="D655" s="10"/>
      <c r="E655" s="10"/>
      <c r="F655" s="11" t="s">
        <v>696</v>
      </c>
      <c r="G655" s="18">
        <v>12250</v>
      </c>
      <c r="H655" s="18" t="s">
        <v>5</v>
      </c>
      <c r="I655" s="19" t="e">
        <f>IF(Paid[[#This Row],[Currency]]="USD",Paid[[#This Row],[Montant]],Paid[[#This Row],[Montant]]/VLOOKUP(Paid[[#This Row],[Date Paid]],TableCurrencyRate[#All],2,FALSE))</f>
        <v>#N/A</v>
      </c>
    </row>
    <row r="656" spans="2:9" x14ac:dyDescent="0.2">
      <c r="B656" s="12">
        <v>43883</v>
      </c>
      <c r="C656" s="9">
        <v>43875</v>
      </c>
      <c r="D656" s="10"/>
      <c r="E656" s="10"/>
      <c r="F656" s="11" t="s">
        <v>702</v>
      </c>
      <c r="G656" s="18">
        <v>46400</v>
      </c>
      <c r="H656" s="18" t="s">
        <v>5</v>
      </c>
      <c r="I656" s="19" t="e">
        <f>IF(Paid[[#This Row],[Currency]]="USD",Paid[[#This Row],[Montant]],Paid[[#This Row],[Montant]]/VLOOKUP(Paid[[#This Row],[Date Paid]],TableCurrencyRate[#All],2,FALSE))</f>
        <v>#N/A</v>
      </c>
    </row>
    <row r="657" spans="2:9" x14ac:dyDescent="0.2">
      <c r="B657" s="12">
        <v>43883</v>
      </c>
      <c r="C657" s="9">
        <v>43878</v>
      </c>
      <c r="D657" s="10"/>
      <c r="E657" s="10"/>
      <c r="F657" s="11" t="s">
        <v>699</v>
      </c>
      <c r="G657" s="18">
        <v>7300</v>
      </c>
      <c r="H657" s="18" t="s">
        <v>5</v>
      </c>
      <c r="I657" s="19" t="e">
        <f>IF(Paid[[#This Row],[Currency]]="USD",Paid[[#This Row],[Montant]],Paid[[#This Row],[Montant]]/VLOOKUP(Paid[[#This Row],[Date Paid]],TableCurrencyRate[#All],2,FALSE))</f>
        <v>#N/A</v>
      </c>
    </row>
    <row r="658" spans="2:9" x14ac:dyDescent="0.2">
      <c r="B658" s="12">
        <v>43883</v>
      </c>
      <c r="C658" s="9">
        <v>43882</v>
      </c>
      <c r="D658" s="10"/>
      <c r="E658" s="10"/>
      <c r="F658" s="11" t="s">
        <v>695</v>
      </c>
      <c r="G658" s="18">
        <v>2950000</v>
      </c>
      <c r="H658" s="18" t="s">
        <v>5</v>
      </c>
      <c r="I658" s="19" t="e">
        <f>IF(Paid[[#This Row],[Currency]]="USD",Paid[[#This Row],[Montant]],Paid[[#This Row],[Montant]]/VLOOKUP(Paid[[#This Row],[Date Paid]],TableCurrencyRate[#All],2,FALSE))</f>
        <v>#N/A</v>
      </c>
    </row>
    <row r="659" spans="2:9" x14ac:dyDescent="0.2">
      <c r="B659" s="12">
        <v>43886</v>
      </c>
      <c r="C659" s="9">
        <v>43886</v>
      </c>
      <c r="D659" s="10"/>
      <c r="E659" s="10"/>
      <c r="F659" s="11" t="s">
        <v>703</v>
      </c>
      <c r="G659" s="18">
        <v>112400</v>
      </c>
      <c r="H659" s="18" t="s">
        <v>5</v>
      </c>
      <c r="I659" s="19" t="e">
        <f>IF(Paid[[#This Row],[Currency]]="USD",Paid[[#This Row],[Montant]],Paid[[#This Row],[Montant]]/VLOOKUP(Paid[[#This Row],[Date Paid]],TableCurrencyRate[#All],2,FALSE))</f>
        <v>#N/A</v>
      </c>
    </row>
    <row r="660" spans="2:9" x14ac:dyDescent="0.2">
      <c r="B660" s="12">
        <v>43888</v>
      </c>
      <c r="C660" s="9">
        <v>43888</v>
      </c>
      <c r="D660" s="10"/>
      <c r="E660" s="10" t="s">
        <v>650</v>
      </c>
      <c r="F660" s="11" t="s">
        <v>704</v>
      </c>
      <c r="G660" s="18">
        <v>75000</v>
      </c>
      <c r="H660" s="18" t="s">
        <v>5</v>
      </c>
      <c r="I660" s="19" t="e">
        <f>IF(Paid[[#This Row],[Currency]]="USD",Paid[[#This Row],[Montant]],Paid[[#This Row],[Montant]]/VLOOKUP(Paid[[#This Row],[Date Paid]],TableCurrencyRate[#All],2,FALSE))</f>
        <v>#N/A</v>
      </c>
    </row>
    <row r="661" spans="2:9" x14ac:dyDescent="0.2">
      <c r="B661" s="12">
        <v>43889</v>
      </c>
      <c r="C661" s="13">
        <v>43889</v>
      </c>
      <c r="D661" s="14" t="s">
        <v>707</v>
      </c>
      <c r="E661" s="14" t="s">
        <v>650</v>
      </c>
      <c r="F661" s="15" t="s">
        <v>708</v>
      </c>
      <c r="G661" s="21">
        <f>1550000-470000</f>
        <v>1080000</v>
      </c>
      <c r="H661" s="16" t="s">
        <v>5</v>
      </c>
      <c r="I661" s="19" t="e">
        <f>IF(Paid[[#This Row],[Currency]]="USD",Paid[[#This Row],[Montant]],Paid[[#This Row],[Montant]]/VLOOKUP(Paid[[#This Row],[Date Paid]],TableCurrencyRate[#All],2,FALSE))</f>
        <v>#N/A</v>
      </c>
    </row>
    <row r="662" spans="2:9" x14ac:dyDescent="0.2">
      <c r="B662" s="12">
        <v>43889</v>
      </c>
      <c r="C662" s="9">
        <v>43890</v>
      </c>
      <c r="D662" s="10"/>
      <c r="E662" s="10" t="s">
        <v>650</v>
      </c>
      <c r="F662" s="11" t="s">
        <v>709</v>
      </c>
      <c r="G662" s="18">
        <f>32000-18800</f>
        <v>13200</v>
      </c>
      <c r="H662" s="18" t="s">
        <v>5</v>
      </c>
      <c r="I662" s="19" t="e">
        <f>IF(Paid[[#This Row],[Currency]]="USD",Paid[[#This Row],[Montant]],Paid[[#This Row],[Montant]]/VLOOKUP(Paid[[#This Row],[Date Paid]],TableCurrencyRate[#All],2,FALSE))</f>
        <v>#N/A</v>
      </c>
    </row>
    <row r="663" spans="2:9" x14ac:dyDescent="0.2">
      <c r="B663" s="12">
        <v>43889</v>
      </c>
      <c r="C663" s="9">
        <v>43882</v>
      </c>
      <c r="D663" s="10"/>
      <c r="E663" s="10"/>
      <c r="F663" s="11" t="s">
        <v>692</v>
      </c>
      <c r="G663" s="18">
        <f>203500-26350</f>
        <v>177150</v>
      </c>
      <c r="H663" s="18" t="s">
        <v>5</v>
      </c>
      <c r="I663" s="19" t="e">
        <f>IF(Paid[[#This Row],[Currency]]="USD",Paid[[#This Row],[Montant]],Paid[[#This Row],[Montant]]/VLOOKUP(Paid[[#This Row],[Date Paid]],TableCurrencyRate[#All],2,FALSE))</f>
        <v>#N/A</v>
      </c>
    </row>
    <row r="664" spans="2:9" x14ac:dyDescent="0.2">
      <c r="B664" s="12">
        <v>43889</v>
      </c>
      <c r="C664" s="9">
        <v>43883</v>
      </c>
      <c r="D664" s="10"/>
      <c r="E664" s="10"/>
      <c r="F664" s="11" t="s">
        <v>709</v>
      </c>
      <c r="G664" s="18">
        <f>44800+9400</f>
        <v>54200</v>
      </c>
      <c r="H664" s="18" t="s">
        <v>5</v>
      </c>
      <c r="I664" s="19" t="e">
        <f>IF(Paid[[#This Row],[Currency]]="USD",Paid[[#This Row],[Montant]],Paid[[#This Row],[Montant]]/VLOOKUP(Paid[[#This Row],[Date Paid]],TableCurrencyRate[#All],2,FALSE))</f>
        <v>#N/A</v>
      </c>
    </row>
    <row r="665" spans="2:9" x14ac:dyDescent="0.2">
      <c r="B665" s="12">
        <v>43889</v>
      </c>
      <c r="C665" s="9">
        <v>43885</v>
      </c>
      <c r="D665" s="10"/>
      <c r="E665" s="10"/>
      <c r="F665" s="11" t="s">
        <v>718</v>
      </c>
      <c r="G665" s="18">
        <f>71400+650</f>
        <v>72050</v>
      </c>
      <c r="H665" s="18" t="s">
        <v>5</v>
      </c>
      <c r="I665" s="19" t="e">
        <f>IF(Paid[[#This Row],[Currency]]="USD",Paid[[#This Row],[Montant]],Paid[[#This Row],[Montant]]/VLOOKUP(Paid[[#This Row],[Date Paid]],TableCurrencyRate[#All],2,FALSE))</f>
        <v>#N/A</v>
      </c>
    </row>
    <row r="666" spans="2:9" x14ac:dyDescent="0.2">
      <c r="B666" s="12">
        <v>43889</v>
      </c>
      <c r="C666" s="9">
        <v>43514</v>
      </c>
      <c r="D666" s="10"/>
      <c r="E666" s="10"/>
      <c r="F666" s="11" t="s">
        <v>715</v>
      </c>
      <c r="G666" s="18">
        <v>45000</v>
      </c>
      <c r="H666" s="18" t="s">
        <v>5</v>
      </c>
      <c r="I666" s="19" t="e">
        <f>IF(Paid[[#This Row],[Currency]]="USD",Paid[[#This Row],[Montant]],Paid[[#This Row],[Montant]]/VLOOKUP(Paid[[#This Row],[Date Paid]],TableCurrencyRate[#All],2,FALSE))</f>
        <v>#N/A</v>
      </c>
    </row>
    <row r="667" spans="2:9" x14ac:dyDescent="0.2">
      <c r="B667" s="12">
        <v>43889</v>
      </c>
      <c r="C667" s="9">
        <v>43883</v>
      </c>
      <c r="D667" s="10"/>
      <c r="E667" s="10"/>
      <c r="F667" s="11" t="s">
        <v>712</v>
      </c>
      <c r="G667" s="18">
        <f>535000-21800</f>
        <v>513200</v>
      </c>
      <c r="H667" s="18" t="s">
        <v>5</v>
      </c>
      <c r="I667" s="19" t="e">
        <f>IF(Paid[[#This Row],[Currency]]="USD",Paid[[#This Row],[Montant]],Paid[[#This Row],[Montant]]/VLOOKUP(Paid[[#This Row],[Date Paid]],TableCurrencyRate[#All],2,FALSE))</f>
        <v>#N/A</v>
      </c>
    </row>
    <row r="668" spans="2:9" x14ac:dyDescent="0.2">
      <c r="B668" s="12">
        <v>43889</v>
      </c>
      <c r="C668" s="9">
        <v>43889</v>
      </c>
      <c r="D668" s="10"/>
      <c r="E668" s="10"/>
      <c r="F668" s="11" t="s">
        <v>710</v>
      </c>
      <c r="G668" s="18">
        <f>495000-93500</f>
        <v>401500</v>
      </c>
      <c r="H668" s="18" t="s">
        <v>5</v>
      </c>
      <c r="I668" s="19" t="e">
        <f>IF(Paid[[#This Row],[Currency]]="USD",Paid[[#This Row],[Montant]],Paid[[#This Row],[Montant]]/VLOOKUP(Paid[[#This Row],[Date Paid]],TableCurrencyRate[#All],2,FALSE))</f>
        <v>#N/A</v>
      </c>
    </row>
    <row r="669" spans="2:9" x14ac:dyDescent="0.2">
      <c r="B669" s="12">
        <v>43889</v>
      </c>
      <c r="C669" s="9">
        <v>43883</v>
      </c>
      <c r="D669" s="10"/>
      <c r="E669" s="10"/>
      <c r="F669" s="11" t="s">
        <v>713</v>
      </c>
      <c r="G669" s="18">
        <v>18930</v>
      </c>
      <c r="H669" s="18" t="s">
        <v>5</v>
      </c>
      <c r="I669" s="19" t="e">
        <f>IF(Paid[[#This Row],[Currency]]="USD",Paid[[#This Row],[Montant]],Paid[[#This Row],[Montant]]/VLOOKUP(Paid[[#This Row],[Date Paid]],TableCurrencyRate[#All],2,FALSE))</f>
        <v>#N/A</v>
      </c>
    </row>
    <row r="670" spans="2:9" x14ac:dyDescent="0.2">
      <c r="B670" s="12">
        <v>43889</v>
      </c>
      <c r="C670" s="9">
        <v>43878</v>
      </c>
      <c r="D670" s="10"/>
      <c r="E670" s="10"/>
      <c r="F670" s="11" t="s">
        <v>684</v>
      </c>
      <c r="G670" s="18">
        <v>25500</v>
      </c>
      <c r="H670" s="18" t="s">
        <v>5</v>
      </c>
      <c r="I670" s="19" t="e">
        <f>IF(Paid[[#This Row],[Currency]]="USD",Paid[[#This Row],[Montant]],Paid[[#This Row],[Montant]]/VLOOKUP(Paid[[#This Row],[Date Paid]],TableCurrencyRate[#All],2,FALSE))</f>
        <v>#N/A</v>
      </c>
    </row>
    <row r="671" spans="2:9" x14ac:dyDescent="0.2">
      <c r="B671" s="12">
        <v>43889</v>
      </c>
      <c r="C671" s="9">
        <v>43887</v>
      </c>
      <c r="D671" s="10"/>
      <c r="E671" s="10"/>
      <c r="F671" s="11" t="s">
        <v>714</v>
      </c>
      <c r="G671" s="18">
        <v>20200</v>
      </c>
      <c r="H671" s="18" t="s">
        <v>5</v>
      </c>
      <c r="I671" s="19" t="e">
        <f>IF(Paid[[#This Row],[Currency]]="USD",Paid[[#This Row],[Montant]],Paid[[#This Row],[Montant]]/VLOOKUP(Paid[[#This Row],[Date Paid]],TableCurrencyRate[#All],2,FALSE))</f>
        <v>#N/A</v>
      </c>
    </row>
    <row r="672" spans="2:9" x14ac:dyDescent="0.2">
      <c r="B672" s="12">
        <v>43889</v>
      </c>
      <c r="C672" s="9">
        <v>43885</v>
      </c>
      <c r="D672" s="10"/>
      <c r="E672" s="10"/>
      <c r="F672" s="11" t="s">
        <v>711</v>
      </c>
      <c r="G672" s="18">
        <v>53600</v>
      </c>
      <c r="H672" s="18" t="s">
        <v>5</v>
      </c>
      <c r="I672" s="19" t="e">
        <f>IF(Paid[[#This Row],[Currency]]="USD",Paid[[#This Row],[Montant]],Paid[[#This Row],[Montant]]/VLOOKUP(Paid[[#This Row],[Date Paid]],TableCurrencyRate[#All],2,FALSE))</f>
        <v>#N/A</v>
      </c>
    </row>
    <row r="673" spans="2:9" x14ac:dyDescent="0.2">
      <c r="B673" s="12">
        <v>43889</v>
      </c>
      <c r="C673" s="9">
        <v>43865</v>
      </c>
      <c r="D673" s="10" t="s">
        <v>46</v>
      </c>
      <c r="E673" s="10"/>
      <c r="F673" s="11" t="s">
        <v>705</v>
      </c>
      <c r="G673" s="18">
        <v>128830</v>
      </c>
      <c r="H673" s="18" t="s">
        <v>5</v>
      </c>
      <c r="I673" s="19" t="e">
        <f>IF(Paid[[#This Row],[Currency]]="USD",Paid[[#This Row],[Montant]],Paid[[#This Row],[Montant]]/VLOOKUP(Paid[[#This Row],[Date Paid]],TableCurrencyRate[#All],2,FALSE))</f>
        <v>#N/A</v>
      </c>
    </row>
    <row r="674" spans="2:9" x14ac:dyDescent="0.2">
      <c r="B674" s="12">
        <v>43889</v>
      </c>
      <c r="C674" s="13">
        <v>43875</v>
      </c>
      <c r="D674" s="14"/>
      <c r="E674" s="14"/>
      <c r="F674" s="15" t="s">
        <v>717</v>
      </c>
      <c r="G674" s="21">
        <v>414000</v>
      </c>
      <c r="H674" s="16" t="s">
        <v>5</v>
      </c>
      <c r="I674" s="19" t="e">
        <f>IF(Paid[[#This Row],[Currency]]="USD",Paid[[#This Row],[Montant]],Paid[[#This Row],[Montant]]/VLOOKUP(Paid[[#This Row],[Date Paid]],TableCurrencyRate[#All],2,FALSE))</f>
        <v>#N/A</v>
      </c>
    </row>
    <row r="675" spans="2:9" x14ac:dyDescent="0.2">
      <c r="B675" s="12">
        <v>43889</v>
      </c>
      <c r="C675" s="13">
        <v>43889</v>
      </c>
      <c r="D675" s="14"/>
      <c r="E675" s="14"/>
      <c r="F675" s="15" t="s">
        <v>706</v>
      </c>
      <c r="G675" s="21">
        <v>69000</v>
      </c>
      <c r="H675" s="16" t="s">
        <v>5</v>
      </c>
      <c r="I675" s="19" t="e">
        <f>IF(Paid[[#This Row],[Currency]]="USD",Paid[[#This Row],[Montant]],Paid[[#This Row],[Montant]]/VLOOKUP(Paid[[#This Row],[Date Paid]],TableCurrencyRate[#All],2,FALSE))</f>
        <v>#N/A</v>
      </c>
    </row>
    <row r="676" spans="2:9" x14ac:dyDescent="0.2">
      <c r="B676" s="12">
        <v>43889</v>
      </c>
      <c r="C676" s="13">
        <v>43889</v>
      </c>
      <c r="D676" s="14"/>
      <c r="E676" s="14"/>
      <c r="F676" s="15" t="s">
        <v>716</v>
      </c>
      <c r="G676" s="21">
        <v>690000</v>
      </c>
      <c r="H676" s="16" t="s">
        <v>5</v>
      </c>
      <c r="I676" s="19" t="e">
        <f>IF(Paid[[#This Row],[Currency]]="USD",Paid[[#This Row],[Montant]],Paid[[#This Row],[Montant]]/VLOOKUP(Paid[[#This Row],[Date Paid]],TableCurrencyRate[#All],2,FALSE))</f>
        <v>#N/A</v>
      </c>
    </row>
    <row r="677" spans="2:9" x14ac:dyDescent="0.2">
      <c r="B677" s="12">
        <v>43894</v>
      </c>
      <c r="C677" s="9">
        <v>43894</v>
      </c>
      <c r="D677" s="10"/>
      <c r="E677" s="10"/>
      <c r="F677" s="11" t="s">
        <v>719</v>
      </c>
      <c r="G677" s="18">
        <f>17367871+1762089+780988</f>
        <v>19910948</v>
      </c>
      <c r="H677" s="18" t="s">
        <v>5</v>
      </c>
      <c r="I677" s="19" t="e">
        <f>IF(Paid[[#This Row],[Currency]]="USD",Paid[[#This Row],[Montant]],Paid[[#This Row],[Montant]]/VLOOKUP(Paid[[#This Row],[Date Paid]],TableCurrencyRate[#All],2,FALSE))</f>
        <v>#N/A</v>
      </c>
    </row>
    <row r="678" spans="2:9" x14ac:dyDescent="0.2">
      <c r="B678" s="12">
        <v>43896</v>
      </c>
      <c r="C678" s="9">
        <v>43896</v>
      </c>
      <c r="D678" s="10"/>
      <c r="E678" s="10"/>
      <c r="F678" s="11" t="s">
        <v>720</v>
      </c>
      <c r="G678" s="18">
        <v>600000</v>
      </c>
      <c r="H678" s="18" t="s">
        <v>5</v>
      </c>
      <c r="I678" s="19" t="e">
        <f>IF(Paid[[#This Row],[Currency]]="USD",Paid[[#This Row],[Montant]],Paid[[#This Row],[Montant]]/VLOOKUP(Paid[[#This Row],[Date Paid]],TableCurrencyRate[#All],2,FALSE))</f>
        <v>#N/A</v>
      </c>
    </row>
    <row r="679" spans="2:9" x14ac:dyDescent="0.2">
      <c r="B679" s="12">
        <v>43896</v>
      </c>
      <c r="C679" s="9">
        <v>43896</v>
      </c>
      <c r="D679" s="10"/>
      <c r="E679" s="10"/>
      <c r="F679" s="11" t="s">
        <v>721</v>
      </c>
      <c r="G679" s="18">
        <v>800000</v>
      </c>
      <c r="H679" s="18" t="s">
        <v>5</v>
      </c>
      <c r="I679" s="19" t="e">
        <f>IF(Paid[[#This Row],[Currency]]="USD",Paid[[#This Row],[Montant]],Paid[[#This Row],[Montant]]/VLOOKUP(Paid[[#This Row],[Date Paid]],TableCurrencyRate[#All],2,FALSE))</f>
        <v>#N/A</v>
      </c>
    </row>
    <row r="680" spans="2:9" x14ac:dyDescent="0.2">
      <c r="B680" s="12">
        <v>43896</v>
      </c>
      <c r="C680" s="9">
        <v>43896</v>
      </c>
      <c r="D680" s="10"/>
      <c r="E680" s="10"/>
      <c r="F680" s="11" t="s">
        <v>722</v>
      </c>
      <c r="G680" s="18">
        <v>580000</v>
      </c>
      <c r="H680" s="18" t="s">
        <v>5</v>
      </c>
      <c r="I680" s="19" t="e">
        <f>IF(Paid[[#This Row],[Currency]]="USD",Paid[[#This Row],[Montant]],Paid[[#This Row],[Montant]]/VLOOKUP(Paid[[#This Row],[Date Paid]],TableCurrencyRate[#All],2,FALSE))</f>
        <v>#N/A</v>
      </c>
    </row>
    <row r="681" spans="2:9" x14ac:dyDescent="0.2">
      <c r="B681" s="12">
        <v>43896</v>
      </c>
      <c r="C681" s="9">
        <v>43896</v>
      </c>
      <c r="D681" s="10"/>
      <c r="E681" s="10"/>
      <c r="F681" s="11" t="s">
        <v>723</v>
      </c>
      <c r="G681" s="18">
        <v>748200</v>
      </c>
      <c r="H681" s="18" t="s">
        <v>5</v>
      </c>
      <c r="I681" s="19" t="e">
        <f>IF(Paid[[#This Row],[Currency]]="USD",Paid[[#This Row],[Montant]],Paid[[#This Row],[Montant]]/VLOOKUP(Paid[[#This Row],[Date Paid]],TableCurrencyRate[#All],2,FALSE))</f>
        <v>#N/A</v>
      </c>
    </row>
    <row r="682" spans="2:9" x14ac:dyDescent="0.2">
      <c r="B682" s="12">
        <v>43896</v>
      </c>
      <c r="C682" s="13">
        <v>43840</v>
      </c>
      <c r="D682" s="14"/>
      <c r="E682" s="14"/>
      <c r="F682" s="15" t="s">
        <v>694</v>
      </c>
      <c r="G682" s="21">
        <v>2031.44</v>
      </c>
      <c r="H682" s="16" t="s">
        <v>6</v>
      </c>
      <c r="I682" s="19">
        <f>IF(Paid[[#This Row],[Currency]]="USD",Paid[[#This Row],[Montant]],Paid[[#This Row],[Montant]]/VLOOKUP(Paid[[#This Row],[Date Paid]],TableCurrencyRate[#All],2,FALSE))</f>
        <v>2031.44</v>
      </c>
    </row>
    <row r="683" spans="2:9" x14ac:dyDescent="0.2">
      <c r="B683" s="12">
        <v>43896</v>
      </c>
      <c r="C683" s="13">
        <v>43840</v>
      </c>
      <c r="D683" s="14"/>
      <c r="E683" s="14"/>
      <c r="F683" s="15" t="s">
        <v>694</v>
      </c>
      <c r="G683" s="21">
        <v>357.53</v>
      </c>
      <c r="H683" s="16" t="s">
        <v>6</v>
      </c>
      <c r="I683" s="19">
        <f>IF(Paid[[#This Row],[Currency]]="USD",Paid[[#This Row],[Montant]],Paid[[#This Row],[Montant]]/VLOOKUP(Paid[[#This Row],[Date Paid]],TableCurrencyRate[#All],2,FALSE))</f>
        <v>357.53</v>
      </c>
    </row>
    <row r="684" spans="2:9" x14ac:dyDescent="0.2">
      <c r="B684" s="12">
        <v>43896</v>
      </c>
      <c r="C684" s="13">
        <v>43840</v>
      </c>
      <c r="D684" s="10"/>
      <c r="E684" s="10"/>
      <c r="F684" s="11" t="s">
        <v>694</v>
      </c>
      <c r="G684" s="18">
        <v>238.55</v>
      </c>
      <c r="H684" s="18" t="s">
        <v>6</v>
      </c>
      <c r="I684" s="19">
        <f>IF(Paid[[#This Row],[Currency]]="USD",Paid[[#This Row],[Montant]],Paid[[#This Row],[Montant]]/VLOOKUP(Paid[[#This Row],[Date Paid]],TableCurrencyRate[#All],2,FALSE))</f>
        <v>238.55</v>
      </c>
    </row>
    <row r="685" spans="2:9" x14ac:dyDescent="0.2">
      <c r="B685" s="12">
        <v>43896</v>
      </c>
      <c r="C685" s="13">
        <v>43840</v>
      </c>
      <c r="D685" s="10"/>
      <c r="E685" s="10"/>
      <c r="F685" s="11" t="s">
        <v>694</v>
      </c>
      <c r="G685" s="18">
        <v>149.72999999999999</v>
      </c>
      <c r="H685" s="18" t="s">
        <v>6</v>
      </c>
      <c r="I685" s="19">
        <f>IF(Paid[[#This Row],[Currency]]="USD",Paid[[#This Row],[Montant]],Paid[[#This Row],[Montant]]/VLOOKUP(Paid[[#This Row],[Date Paid]],TableCurrencyRate[#All],2,FALSE))</f>
        <v>149.72999999999999</v>
      </c>
    </row>
    <row r="686" spans="2:9" x14ac:dyDescent="0.2">
      <c r="B686" s="12">
        <v>43896</v>
      </c>
      <c r="C686" s="9">
        <v>43896</v>
      </c>
      <c r="D686" s="10"/>
      <c r="E686" s="10"/>
      <c r="F686" s="11" t="s">
        <v>706</v>
      </c>
      <c r="G686" s="18">
        <v>73000</v>
      </c>
      <c r="H686" s="18" t="s">
        <v>5</v>
      </c>
      <c r="I686" s="19" t="e">
        <f>IF(Paid[[#This Row],[Currency]]="USD",Paid[[#This Row],[Montant]],Paid[[#This Row],[Montant]]/VLOOKUP(Paid[[#This Row],[Date Paid]],TableCurrencyRate[#All],2,FALSE))</f>
        <v>#N/A</v>
      </c>
    </row>
    <row r="687" spans="2:9" x14ac:dyDescent="0.2">
      <c r="B687" s="12">
        <v>43897</v>
      </c>
      <c r="C687" s="9">
        <v>43897</v>
      </c>
      <c r="D687" s="10"/>
      <c r="E687" s="10" t="s">
        <v>650</v>
      </c>
      <c r="F687" s="11" t="s">
        <v>724</v>
      </c>
      <c r="G687" s="18">
        <v>369900</v>
      </c>
      <c r="H687" s="18" t="s">
        <v>5</v>
      </c>
      <c r="I687" s="19" t="e">
        <f>IF(Paid[[#This Row],[Currency]]="USD",Paid[[#This Row],[Montant]],Paid[[#This Row],[Montant]]/VLOOKUP(Paid[[#This Row],[Date Paid]],TableCurrencyRate[#All],2,FALSE))</f>
        <v>#N/A</v>
      </c>
    </row>
    <row r="688" spans="2:9" x14ac:dyDescent="0.2">
      <c r="B688" s="12">
        <v>43901</v>
      </c>
      <c r="C688" s="13">
        <v>43879</v>
      </c>
      <c r="D688" s="14"/>
      <c r="E688" s="14"/>
      <c r="F688" s="15" t="s">
        <v>745</v>
      </c>
      <c r="G688" s="21">
        <v>400</v>
      </c>
      <c r="H688" s="16" t="s">
        <v>6</v>
      </c>
      <c r="I688" s="19">
        <f>IF(Paid[[#This Row],[Currency]]="USD",Paid[[#This Row],[Montant]],Paid[[#This Row],[Montant]]/VLOOKUP(Paid[[#This Row],[Date Paid]],TableCurrencyRate[#All],2,FALSE))</f>
        <v>400</v>
      </c>
    </row>
    <row r="689" spans="2:9" x14ac:dyDescent="0.2">
      <c r="B689" s="12">
        <v>43901</v>
      </c>
      <c r="C689" s="9">
        <v>43883</v>
      </c>
      <c r="D689" s="10"/>
      <c r="E689" s="10"/>
      <c r="F689" s="11" t="s">
        <v>700</v>
      </c>
      <c r="G689" s="18">
        <v>90411</v>
      </c>
      <c r="H689" s="18" t="s">
        <v>5</v>
      </c>
      <c r="I689" s="19" t="e">
        <f>IF(Paid[[#This Row],[Currency]]="USD",Paid[[#This Row],[Montant]],Paid[[#This Row],[Montant]]/VLOOKUP(Paid[[#This Row],[Date Paid]],TableCurrencyRate[#All],2,FALSE))</f>
        <v>#N/A</v>
      </c>
    </row>
    <row r="690" spans="2:9" x14ac:dyDescent="0.2">
      <c r="B690" s="12">
        <v>43901</v>
      </c>
      <c r="C690" s="9">
        <v>43900</v>
      </c>
      <c r="D690" s="10"/>
      <c r="E690" s="10"/>
      <c r="F690" s="11" t="s">
        <v>729</v>
      </c>
      <c r="G690" s="18">
        <v>3800</v>
      </c>
      <c r="H690" s="18" t="s">
        <v>5</v>
      </c>
      <c r="I690" s="19" t="e">
        <f>IF(Paid[[#This Row],[Currency]]="USD",Paid[[#This Row],[Montant]],Paid[[#This Row],[Montant]]/VLOOKUP(Paid[[#This Row],[Date Paid]],TableCurrencyRate[#All],2,FALSE))</f>
        <v>#N/A</v>
      </c>
    </row>
    <row r="691" spans="2:9" x14ac:dyDescent="0.2">
      <c r="B691" s="12">
        <v>43901</v>
      </c>
      <c r="C691" s="9">
        <v>43895</v>
      </c>
      <c r="D691" s="10"/>
      <c r="E691" s="10" t="s">
        <v>624</v>
      </c>
      <c r="F691" s="11" t="s">
        <v>730</v>
      </c>
      <c r="G691" s="18">
        <v>3000</v>
      </c>
      <c r="H691" s="18" t="s">
        <v>5</v>
      </c>
      <c r="I691" s="19" t="e">
        <f>IF(Paid[[#This Row],[Currency]]="USD",Paid[[#This Row],[Montant]],Paid[[#This Row],[Montant]]/VLOOKUP(Paid[[#This Row],[Date Paid]],TableCurrencyRate[#All],2,FALSE))</f>
        <v>#N/A</v>
      </c>
    </row>
    <row r="692" spans="2:9" x14ac:dyDescent="0.2">
      <c r="B692" s="12">
        <v>43901</v>
      </c>
      <c r="C692" s="9">
        <v>43896</v>
      </c>
      <c r="D692" s="10"/>
      <c r="E692" s="10"/>
      <c r="F692" s="11" t="s">
        <v>744</v>
      </c>
      <c r="G692" s="18">
        <v>200000</v>
      </c>
      <c r="H692" s="18" t="s">
        <v>5</v>
      </c>
      <c r="I692" s="19" t="e">
        <f>IF(Paid[[#This Row],[Currency]]="USD",Paid[[#This Row],[Montant]],Paid[[#This Row],[Montant]]/VLOOKUP(Paid[[#This Row],[Date Paid]],TableCurrencyRate[#All],2,FALSE))</f>
        <v>#N/A</v>
      </c>
    </row>
    <row r="693" spans="2:9" x14ac:dyDescent="0.2">
      <c r="B693" s="12">
        <v>43901</v>
      </c>
      <c r="C693" s="9">
        <v>43894</v>
      </c>
      <c r="D693" s="10"/>
      <c r="E693" s="10" t="s">
        <v>727</v>
      </c>
      <c r="F693" s="11" t="s">
        <v>726</v>
      </c>
      <c r="G693" s="18">
        <f>353000-232650</f>
        <v>120350</v>
      </c>
      <c r="H693" s="18" t="s">
        <v>5</v>
      </c>
      <c r="I693" s="19" t="e">
        <f>IF(Paid[[#This Row],[Currency]]="USD",Paid[[#This Row],[Montant]],Paid[[#This Row],[Montant]]/VLOOKUP(Paid[[#This Row],[Date Paid]],TableCurrencyRate[#All],2,FALSE))</f>
        <v>#N/A</v>
      </c>
    </row>
    <row r="694" spans="2:9" x14ac:dyDescent="0.2">
      <c r="B694" s="12">
        <v>43901</v>
      </c>
      <c r="C694" s="9">
        <v>43900</v>
      </c>
      <c r="D694" s="10"/>
      <c r="E694" s="10" t="s">
        <v>727</v>
      </c>
      <c r="F694" s="11" t="s">
        <v>726</v>
      </c>
      <c r="G694" s="18">
        <f>147000+34750</f>
        <v>181750</v>
      </c>
      <c r="H694" s="18" t="s">
        <v>5</v>
      </c>
      <c r="I694" s="19" t="e">
        <f>IF(Paid[[#This Row],[Currency]]="USD",Paid[[#This Row],[Montant]],Paid[[#This Row],[Montant]]/VLOOKUP(Paid[[#This Row],[Date Paid]],TableCurrencyRate[#All],2,FALSE))</f>
        <v>#N/A</v>
      </c>
    </row>
    <row r="695" spans="2:9" x14ac:dyDescent="0.2">
      <c r="B695" s="12">
        <v>43901</v>
      </c>
      <c r="C695" s="9">
        <v>43895</v>
      </c>
      <c r="D695" s="10"/>
      <c r="E695" s="10" t="s">
        <v>727</v>
      </c>
      <c r="F695" s="11" t="s">
        <v>728</v>
      </c>
      <c r="G695" s="18">
        <v>180000</v>
      </c>
      <c r="H695" s="18" t="s">
        <v>5</v>
      </c>
      <c r="I695" s="19" t="e">
        <f>IF(Paid[[#This Row],[Currency]]="USD",Paid[[#This Row],[Montant]],Paid[[#This Row],[Montant]]/VLOOKUP(Paid[[#This Row],[Date Paid]],TableCurrencyRate[#All],2,FALSE))</f>
        <v>#N/A</v>
      </c>
    </row>
    <row r="696" spans="2:9" x14ac:dyDescent="0.2">
      <c r="B696" s="12">
        <v>43901</v>
      </c>
      <c r="C696" s="9">
        <v>43900</v>
      </c>
      <c r="D696" s="10"/>
      <c r="E696" s="10" t="s">
        <v>727</v>
      </c>
      <c r="F696" s="11" t="s">
        <v>728</v>
      </c>
      <c r="G696" s="18">
        <v>220000</v>
      </c>
      <c r="H696" s="18" t="s">
        <v>5</v>
      </c>
      <c r="I696" s="19" t="e">
        <f>IF(Paid[[#This Row],[Currency]]="USD",Paid[[#This Row],[Montant]],Paid[[#This Row],[Montant]]/VLOOKUP(Paid[[#This Row],[Date Paid]],TableCurrencyRate[#All],2,FALSE))</f>
        <v>#N/A</v>
      </c>
    </row>
    <row r="697" spans="2:9" x14ac:dyDescent="0.2">
      <c r="B697" s="12">
        <v>43901</v>
      </c>
      <c r="C697" s="9">
        <v>43894</v>
      </c>
      <c r="D697" s="10" t="s">
        <v>298</v>
      </c>
      <c r="E697" s="10"/>
      <c r="F697" s="11" t="s">
        <v>27</v>
      </c>
      <c r="G697" s="18">
        <v>2573226</v>
      </c>
      <c r="H697" s="18" t="s">
        <v>5</v>
      </c>
      <c r="I697" s="19" t="e">
        <f>IF(Paid[[#This Row],[Currency]]="USD",Paid[[#This Row],[Montant]],Paid[[#This Row],[Montant]]/VLOOKUP(Paid[[#This Row],[Date Paid]],TableCurrencyRate[#All],2,FALSE))</f>
        <v>#N/A</v>
      </c>
    </row>
    <row r="698" spans="2:9" x14ac:dyDescent="0.2">
      <c r="B698" s="12">
        <v>43901</v>
      </c>
      <c r="C698" s="9">
        <v>43897</v>
      </c>
      <c r="D698" s="10"/>
      <c r="E698" s="10"/>
      <c r="F698" s="11" t="s">
        <v>742</v>
      </c>
      <c r="G698" s="18">
        <v>719250</v>
      </c>
      <c r="H698" s="18" t="s">
        <v>5</v>
      </c>
      <c r="I698" s="19" t="e">
        <f>IF(Paid[[#This Row],[Currency]]="USD",Paid[[#This Row],[Montant]],Paid[[#This Row],[Montant]]/VLOOKUP(Paid[[#This Row],[Date Paid]],TableCurrencyRate[#All],2,FALSE))</f>
        <v>#N/A</v>
      </c>
    </row>
    <row r="699" spans="2:9" x14ac:dyDescent="0.2">
      <c r="B699" s="12">
        <v>43901</v>
      </c>
      <c r="C699" s="9">
        <v>43897</v>
      </c>
      <c r="D699" s="10"/>
      <c r="E699" s="10"/>
      <c r="F699" s="11" t="s">
        <v>743</v>
      </c>
      <c r="G699" s="18">
        <f>531000-122100</f>
        <v>408900</v>
      </c>
      <c r="H699" s="18" t="s">
        <v>5</v>
      </c>
      <c r="I699" s="19" t="e">
        <f>IF(Paid[[#This Row],[Currency]]="USD",Paid[[#This Row],[Montant]],Paid[[#This Row],[Montant]]/VLOOKUP(Paid[[#This Row],[Date Paid]],TableCurrencyRate[#All],2,FALSE))</f>
        <v>#N/A</v>
      </c>
    </row>
    <row r="700" spans="2:9" x14ac:dyDescent="0.2">
      <c r="B700" s="12">
        <v>43901</v>
      </c>
      <c r="C700" s="9">
        <v>43897</v>
      </c>
      <c r="D700" s="10"/>
      <c r="E700" s="10"/>
      <c r="F700" s="11" t="s">
        <v>24</v>
      </c>
      <c r="G700" s="18">
        <v>10000</v>
      </c>
      <c r="H700" s="18" t="s">
        <v>5</v>
      </c>
      <c r="I700" s="19" t="e">
        <f>IF(Paid[[#This Row],[Currency]]="USD",Paid[[#This Row],[Montant]],Paid[[#This Row],[Montant]]/VLOOKUP(Paid[[#This Row],[Date Paid]],TableCurrencyRate[#All],2,FALSE))</f>
        <v>#N/A</v>
      </c>
    </row>
    <row r="701" spans="2:9" x14ac:dyDescent="0.2">
      <c r="B701" s="12">
        <v>43901</v>
      </c>
      <c r="C701" s="9">
        <v>43889</v>
      </c>
      <c r="D701" s="10"/>
      <c r="E701" s="10"/>
      <c r="F701" s="11" t="s">
        <v>162</v>
      </c>
      <c r="G701" s="18">
        <v>40600</v>
      </c>
      <c r="H701" s="18" t="s">
        <v>5</v>
      </c>
      <c r="I701" s="19" t="e">
        <f>IF(Paid[[#This Row],[Currency]]="USD",Paid[[#This Row],[Montant]],Paid[[#This Row],[Montant]]/VLOOKUP(Paid[[#This Row],[Date Paid]],TableCurrencyRate[#All],2,FALSE))</f>
        <v>#N/A</v>
      </c>
    </row>
    <row r="702" spans="2:9" x14ac:dyDescent="0.2">
      <c r="B702" s="12">
        <v>43901</v>
      </c>
      <c r="C702" s="9">
        <v>43900</v>
      </c>
      <c r="D702" s="10"/>
      <c r="E702" s="10"/>
      <c r="F702" s="11" t="s">
        <v>725</v>
      </c>
      <c r="G702" s="18">
        <v>363800</v>
      </c>
      <c r="H702" s="18" t="s">
        <v>5</v>
      </c>
      <c r="I702" s="19" t="e">
        <f>IF(Paid[[#This Row],[Currency]]="USD",Paid[[#This Row],[Montant]],Paid[[#This Row],[Montant]]/VLOOKUP(Paid[[#This Row],[Date Paid]],TableCurrencyRate[#All],2,FALSE))</f>
        <v>#N/A</v>
      </c>
    </row>
    <row r="703" spans="2:9" x14ac:dyDescent="0.2">
      <c r="B703" s="12">
        <v>43903</v>
      </c>
      <c r="C703" s="13">
        <v>43901</v>
      </c>
      <c r="D703" s="14"/>
      <c r="E703" s="14" t="s">
        <v>624</v>
      </c>
      <c r="F703" s="15" t="s">
        <v>763</v>
      </c>
      <c r="G703" s="21">
        <v>44000</v>
      </c>
      <c r="H703" s="16" t="s">
        <v>5</v>
      </c>
      <c r="I703" s="19" t="e">
        <f>IF(Paid[[#This Row],[Currency]]="USD",Paid[[#This Row],[Montant]],Paid[[#This Row],[Montant]]/VLOOKUP(Paid[[#This Row],[Date Paid]],TableCurrencyRate[#All],2,FALSE))</f>
        <v>#N/A</v>
      </c>
    </row>
    <row r="704" spans="2:9" x14ac:dyDescent="0.2">
      <c r="B704" s="12">
        <v>43903</v>
      </c>
      <c r="C704" s="13">
        <v>44015</v>
      </c>
      <c r="D704" s="14"/>
      <c r="E704" s="14"/>
      <c r="F704" s="15" t="s">
        <v>767</v>
      </c>
      <c r="G704" s="21">
        <f>369600-10000</f>
        <v>359600</v>
      </c>
      <c r="H704" s="16" t="s">
        <v>5</v>
      </c>
      <c r="I704" s="19" t="e">
        <f>IF(Paid[[#This Row],[Currency]]="USD",Paid[[#This Row],[Montant]],Paid[[#This Row],[Montant]]/VLOOKUP(Paid[[#This Row],[Date Paid]],TableCurrencyRate[#All],2,FALSE))</f>
        <v>#N/A</v>
      </c>
    </row>
    <row r="705" spans="2:9" x14ac:dyDescent="0.2">
      <c r="B705" s="12">
        <v>43903</v>
      </c>
      <c r="C705" s="9">
        <v>43902</v>
      </c>
      <c r="D705" s="10"/>
      <c r="E705" s="10" t="s">
        <v>624</v>
      </c>
      <c r="F705" s="11" t="s">
        <v>765</v>
      </c>
      <c r="G705" s="18">
        <v>630000</v>
      </c>
      <c r="H705" s="18" t="s">
        <v>5</v>
      </c>
      <c r="I705" s="19" t="e">
        <f>IF(Paid[[#This Row],[Currency]]="USD",Paid[[#This Row],[Montant]],Paid[[#This Row],[Montant]]/VLOOKUP(Paid[[#This Row],[Date Paid]],TableCurrencyRate[#All],2,FALSE))</f>
        <v>#N/A</v>
      </c>
    </row>
    <row r="706" spans="2:9" x14ac:dyDescent="0.2">
      <c r="B706" s="12">
        <v>43903</v>
      </c>
      <c r="C706" s="9">
        <v>43903</v>
      </c>
      <c r="D706" s="10"/>
      <c r="E706" s="10" t="s">
        <v>624</v>
      </c>
      <c r="F706" s="11" t="s">
        <v>766</v>
      </c>
      <c r="G706" s="18">
        <f>153000-10000</f>
        <v>143000</v>
      </c>
      <c r="H706" s="18" t="s">
        <v>5</v>
      </c>
      <c r="I706" s="19" t="e">
        <f>IF(Paid[[#This Row],[Currency]]="USD",Paid[[#This Row],[Montant]],Paid[[#This Row],[Montant]]/VLOOKUP(Paid[[#This Row],[Date Paid]],TableCurrencyRate[#All],2,FALSE))</f>
        <v>#N/A</v>
      </c>
    </row>
    <row r="707" spans="2:9" x14ac:dyDescent="0.2">
      <c r="B707" s="12">
        <v>43903</v>
      </c>
      <c r="C707" s="9">
        <v>43903</v>
      </c>
      <c r="D707" s="10"/>
      <c r="E707" s="10"/>
      <c r="F707" s="11" t="s">
        <v>764</v>
      </c>
      <c r="G707" s="18">
        <v>50000</v>
      </c>
      <c r="H707" s="18" t="s">
        <v>5</v>
      </c>
      <c r="I707" s="19" t="e">
        <f>IF(Paid[[#This Row],[Currency]]="USD",Paid[[#This Row],[Montant]],Paid[[#This Row],[Montant]]/VLOOKUP(Paid[[#This Row],[Date Paid]],TableCurrencyRate[#All],2,FALSE))</f>
        <v>#N/A</v>
      </c>
    </row>
    <row r="708" spans="2:9" x14ac:dyDescent="0.2">
      <c r="B708" s="12">
        <v>43903</v>
      </c>
      <c r="C708" s="9">
        <v>43903</v>
      </c>
      <c r="D708" s="10"/>
      <c r="E708" s="10" t="s">
        <v>233</v>
      </c>
      <c r="F708" s="11" t="s">
        <v>768</v>
      </c>
      <c r="G708" s="18">
        <f>170500-52250</f>
        <v>118250</v>
      </c>
      <c r="H708" s="18" t="s">
        <v>5</v>
      </c>
      <c r="I708" s="19" t="e">
        <f>IF(Paid[[#This Row],[Currency]]="USD",Paid[[#This Row],[Montant]],Paid[[#This Row],[Montant]]/VLOOKUP(Paid[[#This Row],[Date Paid]],TableCurrencyRate[#All],2,FALSE))</f>
        <v>#N/A</v>
      </c>
    </row>
    <row r="709" spans="2:9" x14ac:dyDescent="0.2">
      <c r="B709" s="12">
        <v>43903</v>
      </c>
      <c r="C709" s="9">
        <v>43902</v>
      </c>
      <c r="D709" s="10"/>
      <c r="E709" s="10" t="s">
        <v>624</v>
      </c>
      <c r="F709" s="11" t="s">
        <v>219</v>
      </c>
      <c r="G709" s="18">
        <v>16000</v>
      </c>
      <c r="H709" s="18" t="s">
        <v>5</v>
      </c>
      <c r="I709" s="19" t="e">
        <f>IF(Paid[[#This Row],[Currency]]="USD",Paid[[#This Row],[Montant]],Paid[[#This Row],[Montant]]/VLOOKUP(Paid[[#This Row],[Date Paid]],TableCurrencyRate[#All],2,FALSE))</f>
        <v>#N/A</v>
      </c>
    </row>
    <row r="710" spans="2:9" x14ac:dyDescent="0.2">
      <c r="B710" s="12">
        <v>43906</v>
      </c>
      <c r="C710" s="9">
        <v>43906</v>
      </c>
      <c r="D710" s="10"/>
      <c r="E710" s="10" t="s">
        <v>233</v>
      </c>
      <c r="F710" s="11" t="s">
        <v>769</v>
      </c>
      <c r="G710" s="18">
        <f>59000-8000</f>
        <v>51000</v>
      </c>
      <c r="H710" s="18" t="s">
        <v>5</v>
      </c>
      <c r="I710" s="19" t="e">
        <f>IF(Paid[[#This Row],[Currency]]="USD",Paid[[#This Row],[Montant]],Paid[[#This Row],[Montant]]/VLOOKUP(Paid[[#This Row],[Date Paid]],TableCurrencyRate[#All],2,FALSE))</f>
        <v>#N/A</v>
      </c>
    </row>
    <row r="711" spans="2:9" x14ac:dyDescent="0.2">
      <c r="B711" s="12">
        <v>43907</v>
      </c>
      <c r="C711" s="13">
        <v>43907</v>
      </c>
      <c r="D711" s="14"/>
      <c r="E711" s="14"/>
      <c r="F711" s="15" t="s">
        <v>770</v>
      </c>
      <c r="G711" s="21">
        <v>504700</v>
      </c>
      <c r="H711" s="16" t="s">
        <v>5</v>
      </c>
      <c r="I711" s="19" t="e">
        <f>IF(Paid[[#This Row],[Currency]]="USD",Paid[[#This Row],[Montant]],Paid[[#This Row],[Montant]]/VLOOKUP(Paid[[#This Row],[Date Paid]],TableCurrencyRate[#All],2,FALSE))</f>
        <v>#N/A</v>
      </c>
    </row>
    <row r="712" spans="2:9" x14ac:dyDescent="0.2">
      <c r="B712" s="12">
        <v>43908</v>
      </c>
      <c r="C712" s="9">
        <v>43902</v>
      </c>
      <c r="D712" s="10"/>
      <c r="E712" s="10"/>
      <c r="F712" s="11" t="s">
        <v>21</v>
      </c>
      <c r="G712" s="18">
        <v>211950</v>
      </c>
      <c r="H712" s="18" t="s">
        <v>5</v>
      </c>
      <c r="I712" s="19" t="e">
        <f>IF(Paid[[#This Row],[Currency]]="USD",Paid[[#This Row],[Montant]],Paid[[#This Row],[Montant]]/VLOOKUP(Paid[[#This Row],[Date Paid]],TableCurrencyRate[#All],2,FALSE))</f>
        <v>#N/A</v>
      </c>
    </row>
    <row r="713" spans="2:9" x14ac:dyDescent="0.2">
      <c r="B713" s="12">
        <v>43908</v>
      </c>
      <c r="C713" s="9">
        <v>43864</v>
      </c>
      <c r="D713" s="10"/>
      <c r="E713" s="10"/>
      <c r="F713" s="11" t="s">
        <v>733</v>
      </c>
      <c r="G713" s="18">
        <f>200000+26100</f>
        <v>226100</v>
      </c>
      <c r="H713" s="18" t="s">
        <v>5</v>
      </c>
      <c r="I713" s="19" t="e">
        <f>IF(Paid[[#This Row],[Currency]]="USD",Paid[[#This Row],[Montant]],Paid[[#This Row],[Montant]]/VLOOKUP(Paid[[#This Row],[Date Paid]],TableCurrencyRate[#All],2,FALSE))</f>
        <v>#N/A</v>
      </c>
    </row>
    <row r="714" spans="2:9" x14ac:dyDescent="0.2">
      <c r="B714" s="12">
        <v>43908</v>
      </c>
      <c r="C714" s="9">
        <v>43900</v>
      </c>
      <c r="D714" s="10"/>
      <c r="E714" s="10"/>
      <c r="F714" s="11" t="s">
        <v>776</v>
      </c>
      <c r="G714" s="18">
        <v>23050</v>
      </c>
      <c r="H714" s="18" t="s">
        <v>5</v>
      </c>
      <c r="I714" s="19" t="e">
        <f>IF(Paid[[#This Row],[Currency]]="USD",Paid[[#This Row],[Montant]],Paid[[#This Row],[Montant]]/VLOOKUP(Paid[[#This Row],[Date Paid]],TableCurrencyRate[#All],2,FALSE))</f>
        <v>#N/A</v>
      </c>
    </row>
    <row r="715" spans="2:9" x14ac:dyDescent="0.2">
      <c r="B715" s="12">
        <v>43908</v>
      </c>
      <c r="C715" s="9">
        <v>43900</v>
      </c>
      <c r="D715" s="10"/>
      <c r="E715" s="10"/>
      <c r="F715" s="11" t="s">
        <v>26</v>
      </c>
      <c r="G715" s="18">
        <v>29250</v>
      </c>
      <c r="H715" s="18" t="s">
        <v>5</v>
      </c>
      <c r="I715" s="19" t="e">
        <f>IF(Paid[[#This Row],[Currency]]="USD",Paid[[#This Row],[Montant]],Paid[[#This Row],[Montant]]/VLOOKUP(Paid[[#This Row],[Date Paid]],TableCurrencyRate[#All],2,FALSE))</f>
        <v>#N/A</v>
      </c>
    </row>
    <row r="716" spans="2:9" x14ac:dyDescent="0.2">
      <c r="B716" s="12">
        <v>43908</v>
      </c>
      <c r="C716" s="9">
        <v>43871</v>
      </c>
      <c r="D716" s="10"/>
      <c r="E716" s="10"/>
      <c r="F716" s="11" t="s">
        <v>777</v>
      </c>
      <c r="G716" s="18">
        <v>75200</v>
      </c>
      <c r="H716" s="18" t="s">
        <v>5</v>
      </c>
      <c r="I716" s="19" t="e">
        <f>IF(Paid[[#This Row],[Currency]]="USD",Paid[[#This Row],[Montant]],Paid[[#This Row],[Montant]]/VLOOKUP(Paid[[#This Row],[Date Paid]],TableCurrencyRate[#All],2,FALSE))</f>
        <v>#N/A</v>
      </c>
    </row>
    <row r="717" spans="2:9" x14ac:dyDescent="0.2">
      <c r="B717" s="12">
        <v>43908</v>
      </c>
      <c r="C717" s="9">
        <v>43896</v>
      </c>
      <c r="D717" s="10"/>
      <c r="E717" s="10"/>
      <c r="F717" s="11" t="s">
        <v>779</v>
      </c>
      <c r="G717" s="18">
        <v>31700</v>
      </c>
      <c r="H717" s="18" t="s">
        <v>5</v>
      </c>
      <c r="I717" s="19" t="e">
        <f>IF(Paid[[#This Row],[Currency]]="USD",Paid[[#This Row],[Montant]],Paid[[#This Row],[Montant]]/VLOOKUP(Paid[[#This Row],[Date Paid]],TableCurrencyRate[#All],2,FALSE))</f>
        <v>#N/A</v>
      </c>
    </row>
    <row r="718" spans="2:9" x14ac:dyDescent="0.2">
      <c r="B718" s="12">
        <v>43908</v>
      </c>
      <c r="C718" s="9">
        <v>43903</v>
      </c>
      <c r="D718" s="10"/>
      <c r="E718" s="10"/>
      <c r="F718" s="11" t="s">
        <v>774</v>
      </c>
      <c r="G718" s="18">
        <f>458000-50000</f>
        <v>408000</v>
      </c>
      <c r="H718" s="18" t="s">
        <v>5</v>
      </c>
      <c r="I718" s="19" t="e">
        <f>IF(Paid[[#This Row],[Currency]]="USD",Paid[[#This Row],[Montant]],Paid[[#This Row],[Montant]]/VLOOKUP(Paid[[#This Row],[Date Paid]],TableCurrencyRate[#All],2,FALSE))</f>
        <v>#N/A</v>
      </c>
    </row>
    <row r="719" spans="2:9" x14ac:dyDescent="0.2">
      <c r="B719" s="12">
        <v>43908</v>
      </c>
      <c r="C719" s="9">
        <v>43906</v>
      </c>
      <c r="D719" s="10"/>
      <c r="E719" s="10"/>
      <c r="F719" s="11" t="s">
        <v>775</v>
      </c>
      <c r="G719" s="18">
        <v>110000</v>
      </c>
      <c r="H719" s="18" t="s">
        <v>5</v>
      </c>
      <c r="I719" s="19" t="e">
        <f>IF(Paid[[#This Row],[Currency]]="USD",Paid[[#This Row],[Montant]],Paid[[#This Row],[Montant]]/VLOOKUP(Paid[[#This Row],[Date Paid]],TableCurrencyRate[#All],2,FALSE))</f>
        <v>#N/A</v>
      </c>
    </row>
    <row r="720" spans="2:9" x14ac:dyDescent="0.2">
      <c r="B720" s="12">
        <v>43908</v>
      </c>
      <c r="C720" s="9">
        <v>43641</v>
      </c>
      <c r="D720" s="10" t="s">
        <v>530</v>
      </c>
      <c r="E720" s="10"/>
      <c r="F720" s="11" t="s">
        <v>53</v>
      </c>
      <c r="G720" s="18">
        <f>1379000-G721</f>
        <v>985000</v>
      </c>
      <c r="H720" s="18" t="s">
        <v>5</v>
      </c>
      <c r="I720" s="19" t="e">
        <f>IF(Paid[[#This Row],[Currency]]="USD",Paid[[#This Row],[Montant]],Paid[[#This Row],[Montant]]/VLOOKUP(Paid[[#This Row],[Date Paid]],TableCurrencyRate[#All],2,FALSE))</f>
        <v>#N/A</v>
      </c>
    </row>
    <row r="721" spans="2:9" x14ac:dyDescent="0.2">
      <c r="B721" s="12">
        <v>43908</v>
      </c>
      <c r="C721" s="9">
        <v>44008</v>
      </c>
      <c r="D721" s="10" t="s">
        <v>530</v>
      </c>
      <c r="E721" s="10"/>
      <c r="F721" s="11" t="s">
        <v>53</v>
      </c>
      <c r="G721" s="18">
        <v>394000</v>
      </c>
      <c r="H721" s="18" t="s">
        <v>5</v>
      </c>
      <c r="I721" s="19" t="e">
        <f>IF(Paid[[#This Row],[Currency]]="USD",Paid[[#This Row],[Montant]],Paid[[#This Row],[Montant]]/VLOOKUP(Paid[[#This Row],[Date Paid]],TableCurrencyRate[#All],2,FALSE))</f>
        <v>#N/A</v>
      </c>
    </row>
    <row r="722" spans="2:9" x14ac:dyDescent="0.2">
      <c r="B722" s="12">
        <v>43908</v>
      </c>
      <c r="C722" s="9">
        <v>43642</v>
      </c>
      <c r="D722" s="10" t="s">
        <v>530</v>
      </c>
      <c r="E722" s="10"/>
      <c r="F722" s="11" t="s">
        <v>53</v>
      </c>
      <c r="G722" s="18">
        <v>591000</v>
      </c>
      <c r="H722" s="18" t="s">
        <v>5</v>
      </c>
      <c r="I722" s="19" t="e">
        <f>IF(Paid[[#This Row],[Currency]]="USD",Paid[[#This Row],[Montant]],Paid[[#This Row],[Montant]]/VLOOKUP(Paid[[#This Row],[Date Paid]],TableCurrencyRate[#All],2,FALSE))</f>
        <v>#N/A</v>
      </c>
    </row>
    <row r="723" spans="2:9" x14ac:dyDescent="0.2">
      <c r="B723" s="12">
        <v>43908</v>
      </c>
      <c r="C723" s="13">
        <v>43854</v>
      </c>
      <c r="D723" s="14" t="s">
        <v>731</v>
      </c>
      <c r="E723" s="14"/>
      <c r="F723" s="15" t="s">
        <v>732</v>
      </c>
      <c r="G723" s="21">
        <v>261450</v>
      </c>
      <c r="H723" s="16" t="s">
        <v>5</v>
      </c>
      <c r="I723" s="19" t="e">
        <f>IF(Paid[[#This Row],[Currency]]="USD",Paid[[#This Row],[Montant]],Paid[[#This Row],[Montant]]/VLOOKUP(Paid[[#This Row],[Date Paid]],TableCurrencyRate[#All],2,FALSE))</f>
        <v>#N/A</v>
      </c>
    </row>
    <row r="724" spans="2:9" x14ac:dyDescent="0.2">
      <c r="B724" s="12">
        <v>43908</v>
      </c>
      <c r="C724" s="13">
        <v>43901</v>
      </c>
      <c r="D724" s="14"/>
      <c r="E724" s="14"/>
      <c r="F724" s="15" t="s">
        <v>780</v>
      </c>
      <c r="G724" s="21">
        <v>1545000</v>
      </c>
      <c r="H724" s="16" t="s">
        <v>5</v>
      </c>
      <c r="I724" s="19" t="e">
        <f>IF(Paid[[#This Row],[Currency]]="USD",Paid[[#This Row],[Montant]],Paid[[#This Row],[Montant]]/VLOOKUP(Paid[[#This Row],[Date Paid]],TableCurrencyRate[#All],2,FALSE))</f>
        <v>#N/A</v>
      </c>
    </row>
    <row r="725" spans="2:9" x14ac:dyDescent="0.2">
      <c r="B725" s="12">
        <v>43908</v>
      </c>
      <c r="C725" s="13">
        <v>43906</v>
      </c>
      <c r="D725" s="14"/>
      <c r="E725" s="14"/>
      <c r="F725" s="15" t="s">
        <v>778</v>
      </c>
      <c r="G725" s="21">
        <v>4000</v>
      </c>
      <c r="H725" s="16" t="s">
        <v>5</v>
      </c>
      <c r="I725" s="19" t="e">
        <f>IF(Paid[[#This Row],[Currency]]="USD",Paid[[#This Row],[Montant]],Paid[[#This Row],[Montant]]/VLOOKUP(Paid[[#This Row],[Date Paid]],TableCurrencyRate[#All],2,FALSE))</f>
        <v>#N/A</v>
      </c>
    </row>
    <row r="726" spans="2:9" x14ac:dyDescent="0.2">
      <c r="B726" s="12">
        <v>43908</v>
      </c>
      <c r="C726" s="9">
        <v>43906</v>
      </c>
      <c r="D726" s="10"/>
      <c r="E726" s="10" t="s">
        <v>772</v>
      </c>
      <c r="F726" s="11" t="s">
        <v>771</v>
      </c>
      <c r="G726" s="18">
        <v>40000</v>
      </c>
      <c r="H726" s="18" t="s">
        <v>5</v>
      </c>
      <c r="I726" s="19" t="e">
        <f>IF(Paid[[#This Row],[Currency]]="USD",Paid[[#This Row],[Montant]],Paid[[#This Row],[Montant]]/VLOOKUP(Paid[[#This Row],[Date Paid]],TableCurrencyRate[#All],2,FALSE))</f>
        <v>#N/A</v>
      </c>
    </row>
    <row r="727" spans="2:9" x14ac:dyDescent="0.2">
      <c r="B727" s="12">
        <v>43908</v>
      </c>
      <c r="C727" s="9">
        <v>43906</v>
      </c>
      <c r="D727" s="10"/>
      <c r="E727" s="10"/>
      <c r="F727" s="11" t="s">
        <v>773</v>
      </c>
      <c r="G727" s="18">
        <f>153000-8000-136000</f>
        <v>9000</v>
      </c>
      <c r="H727" s="18" t="s">
        <v>5</v>
      </c>
      <c r="I727" s="19" t="e">
        <f>IF(Paid[[#This Row],[Currency]]="USD",Paid[[#This Row],[Montant]],Paid[[#This Row],[Montant]]/VLOOKUP(Paid[[#This Row],[Date Paid]],TableCurrencyRate[#All],2,FALSE))</f>
        <v>#N/A</v>
      </c>
    </row>
    <row r="728" spans="2:9" x14ac:dyDescent="0.2">
      <c r="B728" s="12">
        <v>43908</v>
      </c>
      <c r="C728" s="9">
        <v>43907</v>
      </c>
      <c r="D728" s="10"/>
      <c r="E728" s="10" t="s">
        <v>736</v>
      </c>
      <c r="F728" s="11" t="s">
        <v>769</v>
      </c>
      <c r="G728" s="18">
        <f>112000-34000</f>
        <v>78000</v>
      </c>
      <c r="H728" s="18" t="s">
        <v>5</v>
      </c>
      <c r="I728" s="19" t="e">
        <f>IF(Paid[[#This Row],[Currency]]="USD",Paid[[#This Row],[Montant]],Paid[[#This Row],[Montant]]/VLOOKUP(Paid[[#This Row],[Date Paid]],TableCurrencyRate[#All],2,FALSE))</f>
        <v>#N/A</v>
      </c>
    </row>
    <row r="729" spans="2:9" x14ac:dyDescent="0.2">
      <c r="B729" s="12">
        <v>43908</v>
      </c>
      <c r="C729" s="9">
        <v>43907</v>
      </c>
      <c r="D729" s="10"/>
      <c r="E729" s="10" t="s">
        <v>736</v>
      </c>
      <c r="F729" s="11" t="s">
        <v>769</v>
      </c>
      <c r="G729" s="18">
        <f>49400+2100</f>
        <v>51500</v>
      </c>
      <c r="H729" s="18" t="s">
        <v>5</v>
      </c>
      <c r="I729" s="19" t="e">
        <f>IF(Paid[[#This Row],[Currency]]="USD",Paid[[#This Row],[Montant]],Paid[[#This Row],[Montant]]/VLOOKUP(Paid[[#This Row],[Date Paid]],TableCurrencyRate[#All],2,FALSE))</f>
        <v>#N/A</v>
      </c>
    </row>
    <row r="730" spans="2:9" x14ac:dyDescent="0.2">
      <c r="B730" s="12">
        <v>43908</v>
      </c>
      <c r="C730" s="13">
        <v>43900</v>
      </c>
      <c r="D730" s="14" t="s">
        <v>313</v>
      </c>
      <c r="E730" s="14"/>
      <c r="F730" s="15" t="s">
        <v>747</v>
      </c>
      <c r="G730" s="21">
        <v>877</v>
      </c>
      <c r="H730" s="16" t="s">
        <v>6</v>
      </c>
      <c r="I730" s="19">
        <f>IF(Paid[[#This Row],[Currency]]="USD",Paid[[#This Row],[Montant]],Paid[[#This Row],[Montant]]/VLOOKUP(Paid[[#This Row],[Date Paid]],TableCurrencyRate[#All],2,FALSE))</f>
        <v>877</v>
      </c>
    </row>
    <row r="731" spans="2:9" x14ac:dyDescent="0.2">
      <c r="B731" s="12">
        <v>43911</v>
      </c>
      <c r="C731" s="9">
        <v>43911</v>
      </c>
      <c r="D731" s="10"/>
      <c r="E731" s="10"/>
      <c r="F731" s="11" t="s">
        <v>784</v>
      </c>
      <c r="G731" s="18">
        <f>125000-29000</f>
        <v>96000</v>
      </c>
      <c r="H731" s="18" t="s">
        <v>5</v>
      </c>
      <c r="I731" s="19" t="e">
        <f>IF(Paid[[#This Row],[Currency]]="USD",Paid[[#This Row],[Montant]],Paid[[#This Row],[Montant]]/VLOOKUP(Paid[[#This Row],[Date Paid]],TableCurrencyRate[#All],2,FALSE))</f>
        <v>#N/A</v>
      </c>
    </row>
    <row r="732" spans="2:9" x14ac:dyDescent="0.2">
      <c r="B732" s="12">
        <v>43913</v>
      </c>
      <c r="C732" s="9">
        <v>43884</v>
      </c>
      <c r="D732" s="10"/>
      <c r="E732" s="10" t="s">
        <v>736</v>
      </c>
      <c r="F732" s="11" t="s">
        <v>792</v>
      </c>
      <c r="G732" s="18">
        <v>35000</v>
      </c>
      <c r="H732" s="18" t="s">
        <v>5</v>
      </c>
      <c r="I732" s="19" t="e">
        <f>IF(Paid[[#This Row],[Currency]]="USD",Paid[[#This Row],[Montant]],Paid[[#This Row],[Montant]]/VLOOKUP(Paid[[#This Row],[Date Paid]],TableCurrencyRate[#All],2,FALSE))</f>
        <v>#N/A</v>
      </c>
    </row>
    <row r="733" spans="2:9" x14ac:dyDescent="0.2">
      <c r="B733" s="12">
        <v>43913</v>
      </c>
      <c r="C733" s="9">
        <v>43884</v>
      </c>
      <c r="D733" s="10"/>
      <c r="E733" s="10"/>
      <c r="F733" s="11" t="s">
        <v>793</v>
      </c>
      <c r="G733" s="18">
        <v>112400</v>
      </c>
      <c r="H733" s="18" t="s">
        <v>5</v>
      </c>
      <c r="I733" s="19" t="e">
        <f>IF(Paid[[#This Row],[Currency]]="USD",Paid[[#This Row],[Montant]],Paid[[#This Row],[Montant]]/VLOOKUP(Paid[[#This Row],[Date Paid]],TableCurrencyRate[#All],2,FALSE))</f>
        <v>#N/A</v>
      </c>
    </row>
    <row r="734" spans="2:9" x14ac:dyDescent="0.2">
      <c r="B734" s="12">
        <v>43913</v>
      </c>
      <c r="C734" s="13">
        <v>43879</v>
      </c>
      <c r="D734" s="14"/>
      <c r="E734" s="14"/>
      <c r="F734" s="15" t="s">
        <v>748</v>
      </c>
      <c r="G734" s="21">
        <v>11400</v>
      </c>
      <c r="H734" s="16" t="s">
        <v>5</v>
      </c>
      <c r="I734" s="19" t="e">
        <f>IF(Paid[[#This Row],[Currency]]="USD",Paid[[#This Row],[Montant]],Paid[[#This Row],[Montant]]/VLOOKUP(Paid[[#This Row],[Date Paid]],TableCurrencyRate[#All],2,FALSE))</f>
        <v>#N/A</v>
      </c>
    </row>
    <row r="735" spans="2:9" x14ac:dyDescent="0.2">
      <c r="B735" s="12">
        <v>43913</v>
      </c>
      <c r="C735" s="9">
        <v>43893</v>
      </c>
      <c r="D735" s="10"/>
      <c r="E735" s="10"/>
      <c r="F735" s="11" t="s">
        <v>752</v>
      </c>
      <c r="G735" s="18">
        <v>11500</v>
      </c>
      <c r="H735" s="18" t="s">
        <v>5</v>
      </c>
      <c r="I735" s="19" t="e">
        <f>IF(Paid[[#This Row],[Currency]]="USD",Paid[[#This Row],[Montant]],Paid[[#This Row],[Montant]]/VLOOKUP(Paid[[#This Row],[Date Paid]],TableCurrencyRate[#All],2,FALSE))</f>
        <v>#N/A</v>
      </c>
    </row>
    <row r="736" spans="2:9" x14ac:dyDescent="0.2">
      <c r="B736" s="12">
        <v>43913</v>
      </c>
      <c r="C736" s="9">
        <v>43897</v>
      </c>
      <c r="D736" s="10"/>
      <c r="E736" s="10"/>
      <c r="F736" s="11" t="s">
        <v>759</v>
      </c>
      <c r="G736" s="18">
        <v>39000</v>
      </c>
      <c r="H736" s="18" t="s">
        <v>5</v>
      </c>
      <c r="I736" s="19" t="e">
        <f>IF(Paid[[#This Row],[Currency]]="USD",Paid[[#This Row],[Montant]],Paid[[#This Row],[Montant]]/VLOOKUP(Paid[[#This Row],[Date Paid]],TableCurrencyRate[#All],2,FALSE))</f>
        <v>#N/A</v>
      </c>
    </row>
    <row r="737" spans="2:9" x14ac:dyDescent="0.2">
      <c r="B737" s="12">
        <v>43913</v>
      </c>
      <c r="C737" s="9">
        <v>43897</v>
      </c>
      <c r="D737" s="10"/>
      <c r="E737" s="10"/>
      <c r="F737" s="11" t="s">
        <v>760</v>
      </c>
      <c r="G737" s="18">
        <v>40000</v>
      </c>
      <c r="H737" s="18" t="s">
        <v>5</v>
      </c>
      <c r="I737" s="19" t="e">
        <f>IF(Paid[[#This Row],[Currency]]="USD",Paid[[#This Row],[Montant]],Paid[[#This Row],[Montant]]/VLOOKUP(Paid[[#This Row],[Date Paid]],TableCurrencyRate[#All],2,FALSE))</f>
        <v>#N/A</v>
      </c>
    </row>
    <row r="738" spans="2:9" x14ac:dyDescent="0.2">
      <c r="B738" s="12">
        <v>43913</v>
      </c>
      <c r="C738" s="9">
        <v>43897</v>
      </c>
      <c r="D738" s="10"/>
      <c r="E738" s="10"/>
      <c r="F738" s="11" t="s">
        <v>762</v>
      </c>
      <c r="G738" s="18">
        <v>35000</v>
      </c>
      <c r="H738" s="18" t="s">
        <v>5</v>
      </c>
      <c r="I738" s="19" t="e">
        <f>IF(Paid[[#This Row],[Currency]]="USD",Paid[[#This Row],[Montant]],Paid[[#This Row],[Montant]]/VLOOKUP(Paid[[#This Row],[Date Paid]],TableCurrencyRate[#All],2,FALSE))</f>
        <v>#N/A</v>
      </c>
    </row>
    <row r="739" spans="2:9" x14ac:dyDescent="0.2">
      <c r="B739" s="12">
        <v>43913</v>
      </c>
      <c r="C739" s="9">
        <v>43897</v>
      </c>
      <c r="D739" s="10"/>
      <c r="E739" s="10"/>
      <c r="F739" s="11" t="s">
        <v>790</v>
      </c>
      <c r="G739" s="18">
        <v>40000</v>
      </c>
      <c r="H739" s="18" t="s">
        <v>5</v>
      </c>
      <c r="I739" s="19" t="e">
        <f>IF(Paid[[#This Row],[Currency]]="USD",Paid[[#This Row],[Montant]],Paid[[#This Row],[Montant]]/VLOOKUP(Paid[[#This Row],[Date Paid]],TableCurrencyRate[#All],2,FALSE))</f>
        <v>#N/A</v>
      </c>
    </row>
    <row r="740" spans="2:9" x14ac:dyDescent="0.2">
      <c r="B740" s="12">
        <v>43913</v>
      </c>
      <c r="C740" s="9">
        <v>43867</v>
      </c>
      <c r="D740" s="10"/>
      <c r="E740" s="10"/>
      <c r="F740" s="11" t="s">
        <v>751</v>
      </c>
      <c r="G740" s="18">
        <v>40000</v>
      </c>
      <c r="H740" s="18" t="s">
        <v>5</v>
      </c>
      <c r="I740" s="19" t="e">
        <f>IF(Paid[[#This Row],[Currency]]="USD",Paid[[#This Row],[Montant]],Paid[[#This Row],[Montant]]/VLOOKUP(Paid[[#This Row],[Date Paid]],TableCurrencyRate[#All],2,FALSE))</f>
        <v>#N/A</v>
      </c>
    </row>
    <row r="741" spans="2:9" x14ac:dyDescent="0.2">
      <c r="B741" s="12">
        <v>43913</v>
      </c>
      <c r="C741" s="9">
        <v>43900</v>
      </c>
      <c r="D741" s="10"/>
      <c r="E741" s="10"/>
      <c r="F741" s="11" t="s">
        <v>761</v>
      </c>
      <c r="G741" s="18">
        <v>40000</v>
      </c>
      <c r="H741" s="18" t="s">
        <v>5</v>
      </c>
      <c r="I741" s="19" t="e">
        <f>IF(Paid[[#This Row],[Currency]]="USD",Paid[[#This Row],[Montant]],Paid[[#This Row],[Montant]]/VLOOKUP(Paid[[#This Row],[Date Paid]],TableCurrencyRate[#All],2,FALSE))</f>
        <v>#N/A</v>
      </c>
    </row>
    <row r="742" spans="2:9" x14ac:dyDescent="0.2">
      <c r="B742" s="12">
        <v>43913</v>
      </c>
      <c r="C742" s="9">
        <v>43893</v>
      </c>
      <c r="D742" s="10"/>
      <c r="E742" s="10"/>
      <c r="F742" s="11" t="s">
        <v>750</v>
      </c>
      <c r="G742" s="18">
        <v>35500</v>
      </c>
      <c r="H742" s="18" t="s">
        <v>5</v>
      </c>
      <c r="I742" s="19" t="e">
        <f>IF(Paid[[#This Row],[Currency]]="USD",Paid[[#This Row],[Montant]],Paid[[#This Row],[Montant]]/VLOOKUP(Paid[[#This Row],[Date Paid]],TableCurrencyRate[#All],2,FALSE))</f>
        <v>#N/A</v>
      </c>
    </row>
    <row r="743" spans="2:9" x14ac:dyDescent="0.2">
      <c r="B743" s="12">
        <v>43913</v>
      </c>
      <c r="C743" s="9">
        <v>43897</v>
      </c>
      <c r="D743" s="10"/>
      <c r="E743" s="10"/>
      <c r="F743" s="11" t="s">
        <v>791</v>
      </c>
      <c r="G743" s="18">
        <v>32500</v>
      </c>
      <c r="H743" s="18" t="s">
        <v>5</v>
      </c>
      <c r="I743" s="19" t="e">
        <f>IF(Paid[[#This Row],[Currency]]="USD",Paid[[#This Row],[Montant]],Paid[[#This Row],[Montant]]/VLOOKUP(Paid[[#This Row],[Date Paid]],TableCurrencyRate[#All],2,FALSE))</f>
        <v>#N/A</v>
      </c>
    </row>
    <row r="744" spans="2:9" x14ac:dyDescent="0.2">
      <c r="B744" s="12">
        <v>43913</v>
      </c>
      <c r="C744" s="9">
        <v>43893</v>
      </c>
      <c r="D744" s="10"/>
      <c r="E744" s="10"/>
      <c r="F744" s="11" t="s">
        <v>749</v>
      </c>
      <c r="G744" s="18">
        <v>19000</v>
      </c>
      <c r="H744" s="18" t="s">
        <v>5</v>
      </c>
      <c r="I744" s="19" t="e">
        <f>IF(Paid[[#This Row],[Currency]]="USD",Paid[[#This Row],[Montant]],Paid[[#This Row],[Montant]]/VLOOKUP(Paid[[#This Row],[Date Paid]],TableCurrencyRate[#All],2,FALSE))</f>
        <v>#N/A</v>
      </c>
    </row>
    <row r="745" spans="2:9" x14ac:dyDescent="0.2">
      <c r="B745" s="12">
        <v>43913</v>
      </c>
      <c r="C745" s="9">
        <v>43893</v>
      </c>
      <c r="D745" s="10"/>
      <c r="E745" s="10"/>
      <c r="F745" s="11" t="s">
        <v>794</v>
      </c>
      <c r="G745" s="18">
        <v>38000</v>
      </c>
      <c r="H745" s="18" t="s">
        <v>5</v>
      </c>
      <c r="I745" s="19" t="e">
        <f>IF(Paid[[#This Row],[Currency]]="USD",Paid[[#This Row],[Montant]],Paid[[#This Row],[Montant]]/VLOOKUP(Paid[[#This Row],[Date Paid]],TableCurrencyRate[#All],2,FALSE))</f>
        <v>#N/A</v>
      </c>
    </row>
    <row r="746" spans="2:9" x14ac:dyDescent="0.2">
      <c r="B746" s="12">
        <v>43913</v>
      </c>
      <c r="C746" s="13">
        <v>43893</v>
      </c>
      <c r="D746" s="14"/>
      <c r="E746" s="14"/>
      <c r="F746" s="15" t="s">
        <v>756</v>
      </c>
      <c r="G746" s="21">
        <v>6000</v>
      </c>
      <c r="H746" s="16" t="s">
        <v>5</v>
      </c>
      <c r="I746" s="19" t="e">
        <f>IF(Paid[[#This Row],[Currency]]="USD",Paid[[#This Row],[Montant]],Paid[[#This Row],[Montant]]/VLOOKUP(Paid[[#This Row],[Date Paid]],TableCurrencyRate[#All],2,FALSE))</f>
        <v>#N/A</v>
      </c>
    </row>
    <row r="747" spans="2:9" x14ac:dyDescent="0.2">
      <c r="B747" s="12">
        <v>43913</v>
      </c>
      <c r="C747" s="13">
        <v>43893</v>
      </c>
      <c r="D747" s="14"/>
      <c r="E747" s="14"/>
      <c r="F747" s="15" t="s">
        <v>754</v>
      </c>
      <c r="G747" s="21">
        <f>10500-700</f>
        <v>9800</v>
      </c>
      <c r="H747" s="16" t="s">
        <v>5</v>
      </c>
      <c r="I747" s="19" t="e">
        <f>IF(Paid[[#This Row],[Currency]]="USD",Paid[[#This Row],[Montant]],Paid[[#This Row],[Montant]]/VLOOKUP(Paid[[#This Row],[Date Paid]],TableCurrencyRate[#All],2,FALSE))</f>
        <v>#N/A</v>
      </c>
    </row>
    <row r="748" spans="2:9" x14ac:dyDescent="0.2">
      <c r="B748" s="12">
        <v>43913</v>
      </c>
      <c r="C748" s="13">
        <v>43893</v>
      </c>
      <c r="D748" s="14"/>
      <c r="E748" s="14"/>
      <c r="F748" s="15" t="s">
        <v>757</v>
      </c>
      <c r="G748" s="21">
        <v>11400</v>
      </c>
      <c r="H748" s="16" t="s">
        <v>5</v>
      </c>
      <c r="I748" s="19" t="e">
        <f>IF(Paid[[#This Row],[Currency]]="USD",Paid[[#This Row],[Montant]],Paid[[#This Row],[Montant]]/VLOOKUP(Paid[[#This Row],[Date Paid]],TableCurrencyRate[#All],2,FALSE))</f>
        <v>#N/A</v>
      </c>
    </row>
    <row r="749" spans="2:9" x14ac:dyDescent="0.2">
      <c r="B749" s="12">
        <v>43913</v>
      </c>
      <c r="C749" s="13">
        <v>43893</v>
      </c>
      <c r="D749" s="14"/>
      <c r="E749" s="14"/>
      <c r="F749" s="15" t="s">
        <v>758</v>
      </c>
      <c r="G749" s="21">
        <v>11400</v>
      </c>
      <c r="H749" s="16" t="s">
        <v>5</v>
      </c>
      <c r="I749" s="19" t="e">
        <f>IF(Paid[[#This Row],[Currency]]="USD",Paid[[#This Row],[Montant]],Paid[[#This Row],[Montant]]/VLOOKUP(Paid[[#This Row],[Date Paid]],TableCurrencyRate[#All],2,FALSE))</f>
        <v>#N/A</v>
      </c>
    </row>
    <row r="750" spans="2:9" x14ac:dyDescent="0.2">
      <c r="B750" s="12">
        <v>43913</v>
      </c>
      <c r="C750" s="9">
        <v>43893</v>
      </c>
      <c r="D750" s="10"/>
      <c r="E750" s="10"/>
      <c r="F750" s="11" t="s">
        <v>753</v>
      </c>
      <c r="G750" s="18">
        <v>11400</v>
      </c>
      <c r="H750" s="18" t="s">
        <v>5</v>
      </c>
      <c r="I750" s="19" t="e">
        <f>IF(Paid[[#This Row],[Currency]]="USD",Paid[[#This Row],[Montant]],Paid[[#This Row],[Montant]]/VLOOKUP(Paid[[#This Row],[Date Paid]],TableCurrencyRate[#All],2,FALSE))</f>
        <v>#N/A</v>
      </c>
    </row>
    <row r="751" spans="2:9" x14ac:dyDescent="0.2">
      <c r="B751" s="12">
        <v>43913</v>
      </c>
      <c r="C751" s="9">
        <v>43893</v>
      </c>
      <c r="D751" s="10"/>
      <c r="E751" s="10"/>
      <c r="F751" s="11" t="s">
        <v>755</v>
      </c>
      <c r="G751" s="18">
        <v>12000</v>
      </c>
      <c r="H751" s="18" t="s">
        <v>5</v>
      </c>
      <c r="I751" s="19" t="e">
        <f>IF(Paid[[#This Row],[Currency]]="USD",Paid[[#This Row],[Montant]],Paid[[#This Row],[Montant]]/VLOOKUP(Paid[[#This Row],[Date Paid]],TableCurrencyRate[#All],2,FALSE))</f>
        <v>#N/A</v>
      </c>
    </row>
    <row r="752" spans="2:9" x14ac:dyDescent="0.2">
      <c r="B752" s="12">
        <v>43913</v>
      </c>
      <c r="C752" s="9">
        <v>43909</v>
      </c>
      <c r="D752" s="10"/>
      <c r="E752" s="10"/>
      <c r="F752" s="11" t="s">
        <v>117</v>
      </c>
      <c r="G752" s="18">
        <v>23200</v>
      </c>
      <c r="H752" s="18" t="s">
        <v>5</v>
      </c>
      <c r="I752" s="19" t="e">
        <f>IF(Paid[[#This Row],[Currency]]="USD",Paid[[#This Row],[Montant]],Paid[[#This Row],[Montant]]/VLOOKUP(Paid[[#This Row],[Date Paid]],TableCurrencyRate[#All],2,FALSE))</f>
        <v>#N/A</v>
      </c>
    </row>
    <row r="753" spans="2:9" x14ac:dyDescent="0.2">
      <c r="B753" s="12">
        <v>43913</v>
      </c>
      <c r="C753" s="9">
        <v>43913</v>
      </c>
      <c r="D753" s="10"/>
      <c r="E753" s="10"/>
      <c r="F753" s="11" t="s">
        <v>782</v>
      </c>
      <c r="G753" s="18">
        <f>70000-6000</f>
        <v>64000</v>
      </c>
      <c r="H753" s="18" t="s">
        <v>5</v>
      </c>
      <c r="I753" s="19" t="e">
        <f>IF(Paid[[#This Row],[Currency]]="USD",Paid[[#This Row],[Montant]],Paid[[#This Row],[Montant]]/VLOOKUP(Paid[[#This Row],[Date Paid]],TableCurrencyRate[#All],2,FALSE))</f>
        <v>#N/A</v>
      </c>
    </row>
    <row r="754" spans="2:9" x14ac:dyDescent="0.2">
      <c r="B754" s="12">
        <v>43913</v>
      </c>
      <c r="C754" s="9">
        <v>43911</v>
      </c>
      <c r="D754" s="10"/>
      <c r="E754" s="10"/>
      <c r="F754" s="11" t="s">
        <v>783</v>
      </c>
      <c r="G754" s="18">
        <f>420000-65000</f>
        <v>355000</v>
      </c>
      <c r="H754" s="18" t="s">
        <v>5</v>
      </c>
      <c r="I754" s="19" t="e">
        <f>IF(Paid[[#This Row],[Currency]]="USD",Paid[[#This Row],[Montant]],Paid[[#This Row],[Montant]]/VLOOKUP(Paid[[#This Row],[Date Paid]],TableCurrencyRate[#All],2,FALSE))</f>
        <v>#N/A</v>
      </c>
    </row>
    <row r="755" spans="2:9" x14ac:dyDescent="0.2">
      <c r="B755" s="12">
        <v>43913</v>
      </c>
      <c r="C755" s="9">
        <v>43911</v>
      </c>
      <c r="D755" s="10"/>
      <c r="E755" s="10"/>
      <c r="F755" s="11" t="s">
        <v>787</v>
      </c>
      <c r="G755" s="18">
        <v>11830</v>
      </c>
      <c r="H755" s="18" t="s">
        <v>5</v>
      </c>
      <c r="I755" s="19" t="e">
        <f>IF(Paid[[#This Row],[Currency]]="USD",Paid[[#This Row],[Montant]],Paid[[#This Row],[Montant]]/VLOOKUP(Paid[[#This Row],[Date Paid]],TableCurrencyRate[#All],2,FALSE))</f>
        <v>#N/A</v>
      </c>
    </row>
    <row r="756" spans="2:9" x14ac:dyDescent="0.2">
      <c r="B756" s="12">
        <v>43913</v>
      </c>
      <c r="C756" s="9">
        <v>43908</v>
      </c>
      <c r="D756" s="10"/>
      <c r="E756" s="10"/>
      <c r="F756" s="11" t="s">
        <v>784</v>
      </c>
      <c r="G756" s="18">
        <v>78000</v>
      </c>
      <c r="H756" s="18" t="s">
        <v>5</v>
      </c>
      <c r="I756" s="19" t="e">
        <f>IF(Paid[[#This Row],[Currency]]="USD",Paid[[#This Row],[Montant]],Paid[[#This Row],[Montant]]/VLOOKUP(Paid[[#This Row],[Date Paid]],TableCurrencyRate[#All],2,FALSE))</f>
        <v>#N/A</v>
      </c>
    </row>
    <row r="757" spans="2:9" x14ac:dyDescent="0.2">
      <c r="B757" s="12">
        <v>43913</v>
      </c>
      <c r="C757" s="9">
        <v>43910</v>
      </c>
      <c r="D757" s="10"/>
      <c r="E757" s="10"/>
      <c r="F757" s="11" t="s">
        <v>784</v>
      </c>
      <c r="G757" s="18">
        <f>24900-5100</f>
        <v>19800</v>
      </c>
      <c r="H757" s="18" t="s">
        <v>5</v>
      </c>
      <c r="I757" s="19" t="e">
        <f>IF(Paid[[#This Row],[Currency]]="USD",Paid[[#This Row],[Montant]],Paid[[#This Row],[Montant]]/VLOOKUP(Paid[[#This Row],[Date Paid]],TableCurrencyRate[#All],2,FALSE))</f>
        <v>#N/A</v>
      </c>
    </row>
    <row r="758" spans="2:9" x14ac:dyDescent="0.2">
      <c r="B758" s="12">
        <v>43913</v>
      </c>
      <c r="C758" s="9">
        <v>43876</v>
      </c>
      <c r="D758" s="10" t="s">
        <v>279</v>
      </c>
      <c r="E758" s="10" t="s">
        <v>333</v>
      </c>
      <c r="F758" s="11" t="s">
        <v>734</v>
      </c>
      <c r="G758" s="18">
        <v>357000</v>
      </c>
      <c r="H758" s="18" t="s">
        <v>5</v>
      </c>
      <c r="I758" s="19" t="e">
        <f>IF(Paid[[#This Row],[Currency]]="USD",Paid[[#This Row],[Montant]],Paid[[#This Row],[Montant]]/VLOOKUP(Paid[[#This Row],[Date Paid]],TableCurrencyRate[#All],2,FALSE))</f>
        <v>#N/A</v>
      </c>
    </row>
    <row r="759" spans="2:9" x14ac:dyDescent="0.2">
      <c r="B759" s="12">
        <v>43913</v>
      </c>
      <c r="C759" s="9">
        <v>43862</v>
      </c>
      <c r="D759" s="10" t="s">
        <v>279</v>
      </c>
      <c r="E759" s="10" t="s">
        <v>333</v>
      </c>
      <c r="F759" s="11" t="s">
        <v>739</v>
      </c>
      <c r="G759" s="18">
        <v>297500</v>
      </c>
      <c r="H759" s="18" t="s">
        <v>5</v>
      </c>
      <c r="I759" s="19" t="e">
        <f>IF(Paid[[#This Row],[Currency]]="USD",Paid[[#This Row],[Montant]],Paid[[#This Row],[Montant]]/VLOOKUP(Paid[[#This Row],[Date Paid]],TableCurrencyRate[#All],2,FALSE))</f>
        <v>#N/A</v>
      </c>
    </row>
    <row r="760" spans="2:9" x14ac:dyDescent="0.2">
      <c r="B760" s="12">
        <v>43913</v>
      </c>
      <c r="C760" s="9">
        <v>43863</v>
      </c>
      <c r="D760" s="10" t="s">
        <v>279</v>
      </c>
      <c r="E760" s="10" t="s">
        <v>333</v>
      </c>
      <c r="F760" s="11" t="s">
        <v>739</v>
      </c>
      <c r="G760" s="18">
        <v>321300</v>
      </c>
      <c r="H760" s="18" t="s">
        <v>5</v>
      </c>
      <c r="I760" s="19" t="e">
        <f>IF(Paid[[#This Row],[Currency]]="USD",Paid[[#This Row],[Montant]],Paid[[#This Row],[Montant]]/VLOOKUP(Paid[[#This Row],[Date Paid]],TableCurrencyRate[#All],2,FALSE))</f>
        <v>#N/A</v>
      </c>
    </row>
    <row r="761" spans="2:9" x14ac:dyDescent="0.2">
      <c r="B761" s="12">
        <v>43913</v>
      </c>
      <c r="C761" s="9">
        <v>43868</v>
      </c>
      <c r="D761" s="10" t="s">
        <v>279</v>
      </c>
      <c r="E761" s="10" t="s">
        <v>233</v>
      </c>
      <c r="F761" s="11" t="s">
        <v>740</v>
      </c>
      <c r="G761" s="18">
        <v>230000</v>
      </c>
      <c r="H761" s="18" t="s">
        <v>5</v>
      </c>
      <c r="I761" s="19" t="e">
        <f>IF(Paid[[#This Row],[Currency]]="USD",Paid[[#This Row],[Montant]],Paid[[#This Row],[Montant]]/VLOOKUP(Paid[[#This Row],[Date Paid]],TableCurrencyRate[#All],2,FALSE))</f>
        <v>#N/A</v>
      </c>
    </row>
    <row r="762" spans="2:9" x14ac:dyDescent="0.2">
      <c r="B762" s="12">
        <v>43913</v>
      </c>
      <c r="C762" s="9">
        <v>43883</v>
      </c>
      <c r="D762" s="10" t="s">
        <v>279</v>
      </c>
      <c r="E762" s="10" t="s">
        <v>736</v>
      </c>
      <c r="F762" s="11" t="s">
        <v>735</v>
      </c>
      <c r="G762" s="18">
        <v>357000</v>
      </c>
      <c r="H762" s="18" t="s">
        <v>5</v>
      </c>
      <c r="I762" s="19" t="e">
        <f>IF(Paid[[#This Row],[Currency]]="USD",Paid[[#This Row],[Montant]],Paid[[#This Row],[Montant]]/VLOOKUP(Paid[[#This Row],[Date Paid]],TableCurrencyRate[#All],2,FALSE))</f>
        <v>#N/A</v>
      </c>
    </row>
    <row r="763" spans="2:9" x14ac:dyDescent="0.2">
      <c r="B763" s="12">
        <v>43913</v>
      </c>
      <c r="C763" s="9">
        <v>43893</v>
      </c>
      <c r="D763" s="10" t="s">
        <v>279</v>
      </c>
      <c r="E763" s="10" t="s">
        <v>737</v>
      </c>
      <c r="F763" s="11" t="s">
        <v>738</v>
      </c>
      <c r="G763" s="18">
        <v>383350</v>
      </c>
      <c r="H763" s="18" t="s">
        <v>5</v>
      </c>
      <c r="I763" s="19" t="e">
        <f>IF(Paid[[#This Row],[Currency]]="USD",Paid[[#This Row],[Montant]],Paid[[#This Row],[Montant]]/VLOOKUP(Paid[[#This Row],[Date Paid]],TableCurrencyRate[#All],2,FALSE))</f>
        <v>#N/A</v>
      </c>
    </row>
    <row r="764" spans="2:9" x14ac:dyDescent="0.2">
      <c r="B764" s="12">
        <v>43913</v>
      </c>
      <c r="C764" s="9">
        <v>43876</v>
      </c>
      <c r="D764" s="10" t="s">
        <v>279</v>
      </c>
      <c r="E764" s="10" t="s">
        <v>333</v>
      </c>
      <c r="F764" s="11" t="s">
        <v>734</v>
      </c>
      <c r="G764" s="18">
        <v>357000</v>
      </c>
      <c r="H764" s="18" t="s">
        <v>5</v>
      </c>
      <c r="I764" s="19" t="e">
        <f>IF(Paid[[#This Row],[Currency]]="USD",Paid[[#This Row],[Montant]],Paid[[#This Row],[Montant]]/VLOOKUP(Paid[[#This Row],[Date Paid]],TableCurrencyRate[#All],2,FALSE))</f>
        <v>#N/A</v>
      </c>
    </row>
    <row r="765" spans="2:9" x14ac:dyDescent="0.2">
      <c r="B765" s="12">
        <v>43913</v>
      </c>
      <c r="C765" s="13">
        <v>43762</v>
      </c>
      <c r="D765" s="14" t="s">
        <v>46</v>
      </c>
      <c r="E765" s="14"/>
      <c r="F765" s="15" t="s">
        <v>268</v>
      </c>
      <c r="G765" s="21">
        <v>589150</v>
      </c>
      <c r="H765" s="16" t="s">
        <v>5</v>
      </c>
      <c r="I765" s="19" t="e">
        <f>IF(Paid[[#This Row],[Currency]]="USD",Paid[[#This Row],[Montant]],Paid[[#This Row],[Montant]]/VLOOKUP(Paid[[#This Row],[Date Paid]],TableCurrencyRate[#All],2,FALSE))</f>
        <v>#N/A</v>
      </c>
    </row>
    <row r="766" spans="2:9" x14ac:dyDescent="0.2">
      <c r="B766" s="12">
        <v>43913</v>
      </c>
      <c r="C766" s="13">
        <v>43770</v>
      </c>
      <c r="D766" s="14" t="s">
        <v>46</v>
      </c>
      <c r="E766" s="14"/>
      <c r="F766" s="15" t="s">
        <v>476</v>
      </c>
      <c r="G766" s="21">
        <v>650000</v>
      </c>
      <c r="H766" s="16" t="s">
        <v>5</v>
      </c>
      <c r="I766" s="19" t="e">
        <f>IF(Paid[[#This Row],[Currency]]="USD",Paid[[#This Row],[Montant]],Paid[[#This Row],[Montant]]/VLOOKUP(Paid[[#This Row],[Date Paid]],TableCurrencyRate[#All],2,FALSE))</f>
        <v>#N/A</v>
      </c>
    </row>
    <row r="767" spans="2:9" x14ac:dyDescent="0.2">
      <c r="B767" s="12">
        <v>43913</v>
      </c>
      <c r="C767" s="9">
        <v>43724</v>
      </c>
      <c r="D767" s="10" t="s">
        <v>46</v>
      </c>
      <c r="E767" s="10"/>
      <c r="F767" s="11" t="s">
        <v>312</v>
      </c>
      <c r="G767" s="18">
        <v>400</v>
      </c>
      <c r="H767" s="18" t="s">
        <v>6</v>
      </c>
      <c r="I767" s="19">
        <f>IF(Paid[[#This Row],[Currency]]="USD",Paid[[#This Row],[Montant]],Paid[[#This Row],[Montant]]/VLOOKUP(Paid[[#This Row],[Date Paid]],TableCurrencyRate[#All],2,FALSE))</f>
        <v>400</v>
      </c>
    </row>
    <row r="768" spans="2:9" x14ac:dyDescent="0.2">
      <c r="B768" s="12">
        <v>43913</v>
      </c>
      <c r="C768" s="9">
        <v>43913</v>
      </c>
      <c r="D768" s="10" t="s">
        <v>530</v>
      </c>
      <c r="E768" s="10"/>
      <c r="F768" s="11" t="s">
        <v>781</v>
      </c>
      <c r="G768" s="18">
        <v>1065900</v>
      </c>
      <c r="H768" s="18" t="s">
        <v>5</v>
      </c>
      <c r="I768" s="19" t="e">
        <f>IF(Paid[[#This Row],[Currency]]="USD",Paid[[#This Row],[Montant]],Paid[[#This Row],[Montant]]/VLOOKUP(Paid[[#This Row],[Date Paid]],TableCurrencyRate[#All],2,FALSE))</f>
        <v>#N/A</v>
      </c>
    </row>
    <row r="769" spans="2:9" x14ac:dyDescent="0.2">
      <c r="B769" s="12">
        <v>43913</v>
      </c>
      <c r="C769" s="9">
        <v>43852</v>
      </c>
      <c r="D769" s="10" t="s">
        <v>9</v>
      </c>
      <c r="E769" s="10" t="s">
        <v>333</v>
      </c>
      <c r="F769" s="11" t="s">
        <v>741</v>
      </c>
      <c r="G769" s="18">
        <v>1319089</v>
      </c>
      <c r="H769" s="18" t="s">
        <v>5</v>
      </c>
      <c r="I769" s="19" t="e">
        <f>IF(Paid[[#This Row],[Currency]]="USD",Paid[[#This Row],[Montant]],Paid[[#This Row],[Montant]]/VLOOKUP(Paid[[#This Row],[Date Paid]],TableCurrencyRate[#All],2,FALSE))</f>
        <v>#N/A</v>
      </c>
    </row>
    <row r="770" spans="2:9" x14ac:dyDescent="0.2">
      <c r="B770" s="12">
        <v>43913</v>
      </c>
      <c r="C770" s="9">
        <v>43895</v>
      </c>
      <c r="D770" s="10" t="s">
        <v>9</v>
      </c>
      <c r="E770" s="10"/>
      <c r="F770" s="11" t="s">
        <v>789</v>
      </c>
      <c r="G770" s="18">
        <v>267400</v>
      </c>
      <c r="H770" s="18" t="s">
        <v>5</v>
      </c>
      <c r="I770" s="19" t="e">
        <f>IF(Paid[[#This Row],[Currency]]="USD",Paid[[#This Row],[Montant]],Paid[[#This Row],[Montant]]/VLOOKUP(Paid[[#This Row],[Date Paid]],TableCurrencyRate[#All],2,FALSE))</f>
        <v>#N/A</v>
      </c>
    </row>
    <row r="771" spans="2:9" x14ac:dyDescent="0.2">
      <c r="B771" s="12">
        <v>43913</v>
      </c>
      <c r="C771" s="9">
        <v>43901</v>
      </c>
      <c r="D771" s="10"/>
      <c r="E771" s="10"/>
      <c r="F771" s="11" t="s">
        <v>788</v>
      </c>
      <c r="G771" s="18">
        <v>1414900</v>
      </c>
      <c r="H771" s="18" t="s">
        <v>5</v>
      </c>
      <c r="I771" s="19" t="e">
        <f>IF(Paid[[#This Row],[Currency]]="USD",Paid[[#This Row],[Montant]],Paid[[#This Row],[Montant]]/VLOOKUP(Paid[[#This Row],[Date Paid]],TableCurrencyRate[#All],2,FALSE))</f>
        <v>#N/A</v>
      </c>
    </row>
    <row r="772" spans="2:9" x14ac:dyDescent="0.2">
      <c r="B772" s="12">
        <v>43913</v>
      </c>
      <c r="C772" s="9">
        <v>43901</v>
      </c>
      <c r="D772" s="10" t="s">
        <v>786</v>
      </c>
      <c r="E772" s="10"/>
      <c r="F772" s="11" t="s">
        <v>785</v>
      </c>
      <c r="G772" s="18">
        <v>895</v>
      </c>
      <c r="H772" s="18" t="s">
        <v>6</v>
      </c>
      <c r="I772" s="19">
        <f>IF(Paid[[#This Row],[Currency]]="USD",Paid[[#This Row],[Montant]],Paid[[#This Row],[Montant]]/VLOOKUP(Paid[[#This Row],[Date Paid]],TableCurrencyRate[#All],2,FALSE))</f>
        <v>895</v>
      </c>
    </row>
    <row r="773" spans="2:9" x14ac:dyDescent="0.2">
      <c r="B773" s="105">
        <v>43916</v>
      </c>
      <c r="C773" s="13">
        <v>43916</v>
      </c>
      <c r="D773" s="14" t="s">
        <v>9</v>
      </c>
      <c r="E773" s="14" t="s">
        <v>624</v>
      </c>
      <c r="F773" s="15" t="s">
        <v>806</v>
      </c>
      <c r="G773" s="21">
        <v>6700</v>
      </c>
      <c r="H773" s="16" t="s">
        <v>6</v>
      </c>
      <c r="I773" s="104">
        <f>IF(Paid[[#This Row],[Currency]]="USD",Paid[[#This Row],[Montant]],Paid[[#This Row],[Montant]]/VLOOKUP(Paid[[#This Row],[Date Paid]],TableCurrencyRate[#All],2,FALSE))</f>
        <v>6700</v>
      </c>
    </row>
    <row r="774" spans="2:9" x14ac:dyDescent="0.2">
      <c r="B774" s="105">
        <v>43917</v>
      </c>
      <c r="C774" s="100">
        <v>43916</v>
      </c>
      <c r="D774" s="101"/>
      <c r="E774" s="101"/>
      <c r="F774" s="102" t="s">
        <v>803</v>
      </c>
      <c r="G774" s="103">
        <v>692</v>
      </c>
      <c r="H774" s="103" t="s">
        <v>6</v>
      </c>
      <c r="I774" s="104">
        <f>IF(Paid[[#This Row],[Currency]]="USD",Paid[[#This Row],[Montant]],Paid[[#This Row],[Montant]]/VLOOKUP(Paid[[#This Row],[Date Paid]],TableCurrencyRate[#All],2,FALSE))</f>
        <v>692</v>
      </c>
    </row>
    <row r="775" spans="2:9" x14ac:dyDescent="0.2">
      <c r="B775" s="105">
        <v>43917</v>
      </c>
      <c r="C775" s="13">
        <v>43916</v>
      </c>
      <c r="D775" s="14"/>
      <c r="E775" s="14"/>
      <c r="F775" s="15" t="s">
        <v>799</v>
      </c>
      <c r="G775" s="21">
        <f>17000-5500</f>
        <v>11500</v>
      </c>
      <c r="H775" s="16" t="s">
        <v>5</v>
      </c>
      <c r="I775" s="104" t="e">
        <f>IF(Paid[[#This Row],[Currency]]="USD",Paid[[#This Row],[Montant]],Paid[[#This Row],[Montant]]/VLOOKUP(Paid[[#This Row],[Date Paid]],TableCurrencyRate[#All],2,FALSE))</f>
        <v>#N/A</v>
      </c>
    </row>
    <row r="776" spans="2:9" x14ac:dyDescent="0.2">
      <c r="B776" s="105">
        <v>43917</v>
      </c>
      <c r="C776" s="100">
        <v>43916</v>
      </c>
      <c r="D776" s="101"/>
      <c r="E776" s="101"/>
      <c r="F776" s="102" t="s">
        <v>798</v>
      </c>
      <c r="G776" s="103">
        <v>192000</v>
      </c>
      <c r="H776" s="103" t="s">
        <v>5</v>
      </c>
      <c r="I776" s="104" t="e">
        <f>IF(Paid[[#This Row],[Currency]]="USD",Paid[[#This Row],[Montant]],Paid[[#This Row],[Montant]]/VLOOKUP(Paid[[#This Row],[Date Paid]],TableCurrencyRate[#All],2,FALSE))</f>
        <v>#N/A</v>
      </c>
    </row>
    <row r="777" spans="2:9" x14ac:dyDescent="0.2">
      <c r="B777" s="105">
        <v>43917</v>
      </c>
      <c r="C777" s="100">
        <v>43916</v>
      </c>
      <c r="D777" s="101"/>
      <c r="E777" s="101"/>
      <c r="F777" s="102" t="s">
        <v>800</v>
      </c>
      <c r="G777" s="103">
        <f>95000+3000</f>
        <v>98000</v>
      </c>
      <c r="H777" s="103" t="s">
        <v>5</v>
      </c>
      <c r="I777" s="104" t="e">
        <f>IF(Paid[[#This Row],[Currency]]="USD",Paid[[#This Row],[Montant]],Paid[[#This Row],[Montant]]/VLOOKUP(Paid[[#This Row],[Date Paid]],TableCurrencyRate[#All],2,FALSE))</f>
        <v>#N/A</v>
      </c>
    </row>
    <row r="778" spans="2:9" x14ac:dyDescent="0.2">
      <c r="B778" s="105">
        <v>43917</v>
      </c>
      <c r="C778" s="100">
        <v>43916</v>
      </c>
      <c r="D778" s="101"/>
      <c r="E778" s="101"/>
      <c r="F778" s="102" t="s">
        <v>804</v>
      </c>
      <c r="G778" s="103">
        <v>21500689</v>
      </c>
      <c r="H778" s="103" t="s">
        <v>6</v>
      </c>
      <c r="I778" s="104">
        <f>IF(Paid[[#This Row],[Currency]]="USD",Paid[[#This Row],[Montant]],Paid[[#This Row],[Montant]]/VLOOKUP(Paid[[#This Row],[Date Paid]],TableCurrencyRate[#All],2,FALSE))</f>
        <v>21500689</v>
      </c>
    </row>
    <row r="779" spans="2:9" x14ac:dyDescent="0.2">
      <c r="B779" s="105">
        <v>43917</v>
      </c>
      <c r="C779" s="100">
        <v>43882</v>
      </c>
      <c r="D779" s="101" t="s">
        <v>746</v>
      </c>
      <c r="E779" s="101" t="s">
        <v>624</v>
      </c>
      <c r="F779" s="102" t="s">
        <v>805</v>
      </c>
      <c r="G779" s="103">
        <f>8087100-4000000</f>
        <v>4087100</v>
      </c>
      <c r="H779" s="103" t="s">
        <v>5</v>
      </c>
      <c r="I779" s="104" t="e">
        <f>IF(Paid[[#This Row],[Currency]]="USD",Paid[[#This Row],[Montant]],Paid[[#This Row],[Montant]]/VLOOKUP(Paid[[#This Row],[Date Paid]],TableCurrencyRate[#All],2,FALSE))</f>
        <v>#N/A</v>
      </c>
    </row>
    <row r="780" spans="2:9" x14ac:dyDescent="0.2">
      <c r="B780" s="105">
        <v>43917</v>
      </c>
      <c r="C780" s="100">
        <v>43916</v>
      </c>
      <c r="D780" s="101"/>
      <c r="E780" s="101" t="s">
        <v>624</v>
      </c>
      <c r="F780" s="102" t="s">
        <v>795</v>
      </c>
      <c r="G780" s="103">
        <v>650000</v>
      </c>
      <c r="H780" s="103" t="s">
        <v>5</v>
      </c>
      <c r="I780" s="104" t="e">
        <f>IF(Paid[[#This Row],[Currency]]="USD",Paid[[#This Row],[Montant]],Paid[[#This Row],[Montant]]/VLOOKUP(Paid[[#This Row],[Date Paid]],TableCurrencyRate[#All],2,FALSE))</f>
        <v>#N/A</v>
      </c>
    </row>
    <row r="781" spans="2:9" x14ac:dyDescent="0.2">
      <c r="B781" s="105">
        <v>43917</v>
      </c>
      <c r="C781" s="100">
        <v>43917</v>
      </c>
      <c r="D781" s="101"/>
      <c r="E781" s="101"/>
      <c r="F781" s="11" t="s">
        <v>808</v>
      </c>
      <c r="G781" s="103">
        <f>132400-8170</f>
        <v>124230</v>
      </c>
      <c r="H781" s="18" t="s">
        <v>5</v>
      </c>
      <c r="I781" s="104" t="e">
        <f>IF(Paid[[#This Row],[Currency]]="USD",Paid[[#This Row],[Montant]],Paid[[#This Row],[Montant]]/VLOOKUP(Paid[[#This Row],[Date Paid]],TableCurrencyRate[#All],2,FALSE))</f>
        <v>#N/A</v>
      </c>
    </row>
    <row r="782" spans="2:9" x14ac:dyDescent="0.2">
      <c r="B782" s="105">
        <v>43917</v>
      </c>
      <c r="C782" s="13">
        <v>43916</v>
      </c>
      <c r="D782" s="14"/>
      <c r="E782" s="14"/>
      <c r="F782" s="15" t="s">
        <v>797</v>
      </c>
      <c r="G782" s="21">
        <v>800000</v>
      </c>
      <c r="H782" s="16" t="s">
        <v>5</v>
      </c>
      <c r="I782" s="104" t="e">
        <f>IF(Paid[[#This Row],[Currency]]="USD",Paid[[#This Row],[Montant]],Paid[[#This Row],[Montant]]/VLOOKUP(Paid[[#This Row],[Date Paid]],TableCurrencyRate[#All],2,FALSE))</f>
        <v>#N/A</v>
      </c>
    </row>
    <row r="783" spans="2:9" x14ac:dyDescent="0.2">
      <c r="B783" s="105">
        <v>43917</v>
      </c>
      <c r="C783" s="100">
        <v>43916</v>
      </c>
      <c r="D783" s="101"/>
      <c r="E783" s="101"/>
      <c r="F783" s="102" t="s">
        <v>22</v>
      </c>
      <c r="G783" s="103">
        <v>620000</v>
      </c>
      <c r="H783" s="103" t="s">
        <v>5</v>
      </c>
      <c r="I783" s="104" t="e">
        <f>IF(Paid[[#This Row],[Currency]]="USD",Paid[[#This Row],[Montant]],Paid[[#This Row],[Montant]]/VLOOKUP(Paid[[#This Row],[Date Paid]],TableCurrencyRate[#All],2,FALSE))</f>
        <v>#N/A</v>
      </c>
    </row>
    <row r="784" spans="2:9" x14ac:dyDescent="0.2">
      <c r="B784" s="105">
        <v>43917</v>
      </c>
      <c r="C784" s="100">
        <v>43911</v>
      </c>
      <c r="D784" s="101"/>
      <c r="E784" s="101"/>
      <c r="F784" s="102" t="s">
        <v>801</v>
      </c>
      <c r="G784" s="103">
        <v>748200</v>
      </c>
      <c r="H784" s="103" t="s">
        <v>5</v>
      </c>
      <c r="I784" s="104" t="e">
        <f>IF(Paid[[#This Row],[Currency]]="USD",Paid[[#This Row],[Montant]],Paid[[#This Row],[Montant]]/VLOOKUP(Paid[[#This Row],[Date Paid]],TableCurrencyRate[#All],2,FALSE))</f>
        <v>#N/A</v>
      </c>
    </row>
    <row r="785" spans="2:9" x14ac:dyDescent="0.2">
      <c r="B785" s="105">
        <v>43917</v>
      </c>
      <c r="C785" s="100">
        <v>43911</v>
      </c>
      <c r="D785" s="101"/>
      <c r="E785" s="101"/>
      <c r="F785" s="102" t="s">
        <v>802</v>
      </c>
      <c r="G785" s="103">
        <v>235985</v>
      </c>
      <c r="H785" s="103" t="s">
        <v>5</v>
      </c>
      <c r="I785" s="104" t="e">
        <f>IF(Paid[[#This Row],[Currency]]="USD",Paid[[#This Row],[Montant]],Paid[[#This Row],[Montant]]/VLOOKUP(Paid[[#This Row],[Date Paid]],TableCurrencyRate[#All],2,FALSE))</f>
        <v>#N/A</v>
      </c>
    </row>
    <row r="786" spans="2:9" x14ac:dyDescent="0.2">
      <c r="B786" s="105">
        <v>43917</v>
      </c>
      <c r="C786" s="13">
        <v>43916</v>
      </c>
      <c r="D786" s="14"/>
      <c r="E786" s="14"/>
      <c r="F786" s="15" t="s">
        <v>796</v>
      </c>
      <c r="G786" s="21">
        <v>464520</v>
      </c>
      <c r="H786" s="16" t="s">
        <v>5</v>
      </c>
      <c r="I786" s="104" t="e">
        <f>IF(Paid[[#This Row],[Currency]]="USD",Paid[[#This Row],[Montant]],Paid[[#This Row],[Montant]]/VLOOKUP(Paid[[#This Row],[Date Paid]],TableCurrencyRate[#All],2,FALSE))</f>
        <v>#N/A</v>
      </c>
    </row>
    <row r="787" spans="2:9" x14ac:dyDescent="0.2">
      <c r="B787" s="105">
        <v>43917</v>
      </c>
      <c r="C787" s="100">
        <v>43917</v>
      </c>
      <c r="D787" s="101"/>
      <c r="E787" s="101"/>
      <c r="F787" s="11" t="s">
        <v>809</v>
      </c>
      <c r="G787" s="103">
        <v>14000</v>
      </c>
      <c r="H787" s="18" t="s">
        <v>5</v>
      </c>
      <c r="I787" s="104" t="e">
        <f>IF(Paid[[#This Row],[Currency]]="USD",Paid[[#This Row],[Montant]],Paid[[#This Row],[Montant]]/VLOOKUP(Paid[[#This Row],[Date Paid]],TableCurrencyRate[#All],2,FALSE))</f>
        <v>#N/A</v>
      </c>
    </row>
    <row r="788" spans="2:9" x14ac:dyDescent="0.2">
      <c r="B788" s="105">
        <v>43955</v>
      </c>
      <c r="C788" s="100">
        <v>43955</v>
      </c>
      <c r="D788" s="101"/>
      <c r="E788" s="101"/>
      <c r="F788" s="11" t="s">
        <v>810</v>
      </c>
      <c r="G788" s="103">
        <v>6130000</v>
      </c>
      <c r="H788" s="18" t="s">
        <v>5</v>
      </c>
      <c r="I788" s="104" t="e">
        <f>IF(Paid[[#This Row],[Currency]]="USD",Paid[[#This Row],[Montant]],Paid[[#This Row],[Montant]]/VLOOKUP(Paid[[#This Row],[Date Paid]],TableCurrencyRate[#All],2,FALSE))</f>
        <v>#N/A</v>
      </c>
    </row>
    <row r="789" spans="2:9" x14ac:dyDescent="0.2">
      <c r="B789" s="105">
        <v>43956</v>
      </c>
      <c r="C789" s="100">
        <v>43956</v>
      </c>
      <c r="D789" s="101"/>
      <c r="E789" s="101"/>
      <c r="F789" s="11" t="s">
        <v>811</v>
      </c>
      <c r="G789" s="103">
        <v>16000</v>
      </c>
      <c r="H789" s="18" t="s">
        <v>5</v>
      </c>
      <c r="I789" s="104" t="e">
        <f>IF(Paid[[#This Row],[Currency]]="USD",Paid[[#This Row],[Montant]],Paid[[#This Row],[Montant]]/VLOOKUP(Paid[[#This Row],[Date Paid]],TableCurrencyRate[#All],2,FALSE))</f>
        <v>#N/A</v>
      </c>
    </row>
    <row r="790" spans="2:9" x14ac:dyDescent="0.2">
      <c r="B790" s="105">
        <v>43956</v>
      </c>
      <c r="C790" s="100">
        <v>43956</v>
      </c>
      <c r="D790" s="101"/>
      <c r="E790" s="101"/>
      <c r="F790" s="11" t="s">
        <v>811</v>
      </c>
      <c r="G790" s="103">
        <v>20000</v>
      </c>
      <c r="H790" s="18" t="s">
        <v>5</v>
      </c>
      <c r="I790" s="104" t="e">
        <f>IF(Paid[[#This Row],[Currency]]="USD",Paid[[#This Row],[Montant]],Paid[[#This Row],[Montant]]/VLOOKUP(Paid[[#This Row],[Date Paid]],TableCurrencyRate[#All],2,FALSE))</f>
        <v>#N/A</v>
      </c>
    </row>
    <row r="791" spans="2:9" x14ac:dyDescent="0.2">
      <c r="B791" s="12">
        <v>43963</v>
      </c>
      <c r="C791" s="13">
        <v>43959</v>
      </c>
      <c r="D791" s="14" t="s">
        <v>46</v>
      </c>
      <c r="E791" s="14"/>
      <c r="F791" s="15" t="s">
        <v>819</v>
      </c>
      <c r="G791" s="21">
        <v>28000</v>
      </c>
      <c r="H791" s="16" t="s">
        <v>5</v>
      </c>
      <c r="I791" s="19" t="e">
        <f>IF(Paid[[#This Row],[Currency]]="USD",Paid[[#This Row],[Montant]],Paid[[#This Row],[Montant]]/VLOOKUP(Paid[[#This Row],[Date Paid]],TableCurrencyRate[#All],2,FALSE))</f>
        <v>#N/A</v>
      </c>
    </row>
    <row r="792" spans="2:9" x14ac:dyDescent="0.2">
      <c r="B792" s="12">
        <v>43963</v>
      </c>
      <c r="C792" s="9">
        <v>43962</v>
      </c>
      <c r="D792" s="10" t="s">
        <v>46</v>
      </c>
      <c r="E792" s="10"/>
      <c r="F792" s="11" t="s">
        <v>815</v>
      </c>
      <c r="G792" s="18">
        <f>15000-7000</f>
        <v>8000</v>
      </c>
      <c r="H792" s="18" t="s">
        <v>5</v>
      </c>
      <c r="I792" s="19" t="e">
        <f>IF(Paid[[#This Row],[Currency]]="USD",Paid[[#This Row],[Montant]],Paid[[#This Row],[Montant]]/VLOOKUP(Paid[[#This Row],[Date Paid]],TableCurrencyRate[#All],2,FALSE))</f>
        <v>#N/A</v>
      </c>
    </row>
    <row r="793" spans="2:9" x14ac:dyDescent="0.2">
      <c r="B793" s="12">
        <v>43963</v>
      </c>
      <c r="C793" s="9">
        <v>43916</v>
      </c>
      <c r="D793" s="10" t="s">
        <v>46</v>
      </c>
      <c r="E793" s="10"/>
      <c r="F793" s="11" t="s">
        <v>825</v>
      </c>
      <c r="G793" s="18">
        <v>3500</v>
      </c>
      <c r="H793" s="18" t="s">
        <v>5</v>
      </c>
      <c r="I793" s="19" t="e">
        <f>IF(Paid[[#This Row],[Currency]]="USD",Paid[[#This Row],[Montant]],Paid[[#This Row],[Montant]]/VLOOKUP(Paid[[#This Row],[Date Paid]],TableCurrencyRate[#All],2,FALSE))</f>
        <v>#N/A</v>
      </c>
    </row>
    <row r="794" spans="2:9" x14ac:dyDescent="0.2">
      <c r="B794" s="12">
        <v>43963</v>
      </c>
      <c r="C794" s="9">
        <v>43916</v>
      </c>
      <c r="D794" s="10" t="s">
        <v>46</v>
      </c>
      <c r="E794" s="10"/>
      <c r="F794" s="11" t="s">
        <v>826</v>
      </c>
      <c r="G794" s="18">
        <v>10500</v>
      </c>
      <c r="H794" s="18" t="s">
        <v>5</v>
      </c>
      <c r="I794" s="19" t="e">
        <f>IF(Paid[[#This Row],[Currency]]="USD",Paid[[#This Row],[Montant]],Paid[[#This Row],[Montant]]/VLOOKUP(Paid[[#This Row],[Date Paid]],TableCurrencyRate[#All],2,FALSE))</f>
        <v>#N/A</v>
      </c>
    </row>
    <row r="795" spans="2:9" x14ac:dyDescent="0.2">
      <c r="B795" s="12">
        <v>43963</v>
      </c>
      <c r="C795" s="9">
        <v>43958</v>
      </c>
      <c r="D795" s="10" t="s">
        <v>46</v>
      </c>
      <c r="E795" s="10" t="s">
        <v>813</v>
      </c>
      <c r="F795" s="11" t="s">
        <v>814</v>
      </c>
      <c r="G795" s="18">
        <v>50000</v>
      </c>
      <c r="H795" s="18" t="s">
        <v>5</v>
      </c>
      <c r="I795" s="19" t="e">
        <f>IF(Paid[[#This Row],[Currency]]="USD",Paid[[#This Row],[Montant]],Paid[[#This Row],[Montant]]/VLOOKUP(Paid[[#This Row],[Date Paid]],TableCurrencyRate[#All],2,FALSE))</f>
        <v>#N/A</v>
      </c>
    </row>
    <row r="796" spans="2:9" x14ac:dyDescent="0.2">
      <c r="B796" s="12">
        <v>43963</v>
      </c>
      <c r="C796" s="9">
        <v>43958</v>
      </c>
      <c r="D796" s="10" t="s">
        <v>46</v>
      </c>
      <c r="E796" s="10"/>
      <c r="F796" s="11" t="s">
        <v>818</v>
      </c>
      <c r="G796" s="18">
        <f>110000-11400</f>
        <v>98600</v>
      </c>
      <c r="H796" s="18" t="s">
        <v>5</v>
      </c>
      <c r="I796" s="19" t="e">
        <f>IF(Paid[[#This Row],[Currency]]="USD",Paid[[#This Row],[Montant]],Paid[[#This Row],[Montant]]/VLOOKUP(Paid[[#This Row],[Date Paid]],TableCurrencyRate[#All],2,FALSE))</f>
        <v>#N/A</v>
      </c>
    </row>
    <row r="797" spans="2:9" x14ac:dyDescent="0.2">
      <c r="B797" s="12">
        <v>43963</v>
      </c>
      <c r="C797" s="9">
        <v>43958</v>
      </c>
      <c r="D797" s="10" t="s">
        <v>46</v>
      </c>
      <c r="E797" s="10"/>
      <c r="F797" s="11" t="s">
        <v>822</v>
      </c>
      <c r="G797" s="18">
        <v>14090</v>
      </c>
      <c r="H797" s="18" t="s">
        <v>5</v>
      </c>
      <c r="I797" s="19" t="e">
        <f>IF(Paid[[#This Row],[Currency]]="USD",Paid[[#This Row],[Montant]],Paid[[#This Row],[Montant]]/VLOOKUP(Paid[[#This Row],[Date Paid]],TableCurrencyRate[#All],2,FALSE))</f>
        <v>#N/A</v>
      </c>
    </row>
    <row r="798" spans="2:9" x14ac:dyDescent="0.2">
      <c r="B798" s="107">
        <v>43965</v>
      </c>
      <c r="C798" s="108">
        <v>43867</v>
      </c>
      <c r="D798" s="109" t="s">
        <v>279</v>
      </c>
      <c r="E798" s="109" t="s">
        <v>813</v>
      </c>
      <c r="F798" s="110" t="s">
        <v>827</v>
      </c>
      <c r="G798" s="111">
        <v>535500</v>
      </c>
      <c r="H798" s="111" t="s">
        <v>5</v>
      </c>
      <c r="I798" s="112" t="e">
        <f>IF(Paid[[#This Row],[Currency]]="USD",Paid[[#This Row],[Montant]],Paid[[#This Row],[Montant]]/VLOOKUP(Paid[[#This Row],[Date Paid]],TableCurrencyRate[#All],2,FALSE))</f>
        <v>#N/A</v>
      </c>
    </row>
    <row r="799" spans="2:9" x14ac:dyDescent="0.2">
      <c r="B799" s="107">
        <v>43965</v>
      </c>
      <c r="C799" s="108">
        <v>43867</v>
      </c>
      <c r="D799" s="109" t="s">
        <v>279</v>
      </c>
      <c r="E799" s="109" t="s">
        <v>813</v>
      </c>
      <c r="F799" s="110" t="s">
        <v>827</v>
      </c>
      <c r="G799" s="111">
        <v>357000</v>
      </c>
      <c r="H799" s="111" t="s">
        <v>5</v>
      </c>
      <c r="I799" s="112" t="e">
        <f>IF(Paid[[#This Row],[Currency]]="USD",Paid[[#This Row],[Montant]],Paid[[#This Row],[Montant]]/VLOOKUP(Paid[[#This Row],[Date Paid]],TableCurrencyRate[#All],2,FALSE))</f>
        <v>#N/A</v>
      </c>
    </row>
    <row r="800" spans="2:9" x14ac:dyDescent="0.2">
      <c r="B800" s="107">
        <v>43965</v>
      </c>
      <c r="C800" s="108">
        <v>43917</v>
      </c>
      <c r="D800" s="109" t="s">
        <v>279</v>
      </c>
      <c r="E800" s="109" t="s">
        <v>813</v>
      </c>
      <c r="F800" s="110" t="s">
        <v>827</v>
      </c>
      <c r="G800" s="111">
        <v>978350</v>
      </c>
      <c r="H800" s="111" t="s">
        <v>5</v>
      </c>
      <c r="I800" s="112" t="e">
        <f>IF(Paid[[#This Row],[Currency]]="USD",Paid[[#This Row],[Montant]],Paid[[#This Row],[Montant]]/VLOOKUP(Paid[[#This Row],[Date Paid]],TableCurrencyRate[#All],2,FALSE))</f>
        <v>#N/A</v>
      </c>
    </row>
    <row r="801" spans="2:9" x14ac:dyDescent="0.2">
      <c r="B801" s="107">
        <v>43965</v>
      </c>
      <c r="C801" s="108">
        <v>43917</v>
      </c>
      <c r="D801" s="109" t="s">
        <v>279</v>
      </c>
      <c r="E801" s="109" t="s">
        <v>813</v>
      </c>
      <c r="F801" s="110" t="s">
        <v>827</v>
      </c>
      <c r="G801" s="111">
        <v>595000</v>
      </c>
      <c r="H801" s="111" t="s">
        <v>5</v>
      </c>
      <c r="I801" s="112" t="e">
        <f>IF(Paid[[#This Row],[Currency]]="USD",Paid[[#This Row],[Montant]],Paid[[#This Row],[Montant]]/VLOOKUP(Paid[[#This Row],[Date Paid]],TableCurrencyRate[#All],2,FALSE))</f>
        <v>#N/A</v>
      </c>
    </row>
    <row r="802" spans="2:9" x14ac:dyDescent="0.2">
      <c r="B802" s="113">
        <v>43964</v>
      </c>
      <c r="C802" s="108">
        <v>43964</v>
      </c>
      <c r="D802" s="109"/>
      <c r="E802" s="10" t="s">
        <v>737</v>
      </c>
      <c r="F802" s="11" t="s">
        <v>865</v>
      </c>
      <c r="G802" s="111">
        <v>88000</v>
      </c>
      <c r="H802" s="18" t="s">
        <v>5</v>
      </c>
      <c r="I802" s="112" t="e">
        <f>IF(Paid[[#This Row],[Currency]]="USD",Paid[[#This Row],[Montant]],Paid[[#This Row],[Montant]]/VLOOKUP(Paid[[#This Row],[Date Paid]],TableCurrencyRate[#All],2,FALSE))</f>
        <v>#N/A</v>
      </c>
    </row>
    <row r="803" spans="2:9" x14ac:dyDescent="0.2">
      <c r="B803" s="113">
        <v>43964</v>
      </c>
      <c r="C803" s="113">
        <v>43964</v>
      </c>
      <c r="D803" s="109"/>
      <c r="E803" s="109"/>
      <c r="F803" s="11" t="s">
        <v>17</v>
      </c>
      <c r="G803" s="111">
        <f>200000+51024</f>
        <v>251024</v>
      </c>
      <c r="H803" s="18" t="s">
        <v>5</v>
      </c>
      <c r="I803" s="112" t="e">
        <f>IF(Paid[[#This Row],[Currency]]="USD",Paid[[#This Row],[Montant]],Paid[[#This Row],[Montant]]/VLOOKUP(Paid[[#This Row],[Date Paid]],TableCurrencyRate[#All],2,FALSE))</f>
        <v>#N/A</v>
      </c>
    </row>
    <row r="804" spans="2:9" x14ac:dyDescent="0.2">
      <c r="B804" s="113">
        <v>43964</v>
      </c>
      <c r="C804" s="108">
        <v>43964</v>
      </c>
      <c r="D804" s="109"/>
      <c r="E804" s="109"/>
      <c r="F804" s="11" t="s">
        <v>21</v>
      </c>
      <c r="G804" s="111">
        <v>121200</v>
      </c>
      <c r="H804" s="18" t="s">
        <v>5</v>
      </c>
      <c r="I804" s="112" t="e">
        <f>IF(Paid[[#This Row],[Currency]]="USD",Paid[[#This Row],[Montant]],Paid[[#This Row],[Montant]]/VLOOKUP(Paid[[#This Row],[Date Paid]],TableCurrencyRate[#All],2,FALSE))</f>
        <v>#N/A</v>
      </c>
    </row>
    <row r="805" spans="2:9" x14ac:dyDescent="0.2">
      <c r="B805" s="113">
        <v>43964</v>
      </c>
      <c r="C805" s="108">
        <v>43964</v>
      </c>
      <c r="D805" s="109"/>
      <c r="E805" s="10" t="s">
        <v>650</v>
      </c>
      <c r="F805" s="11" t="s">
        <v>724</v>
      </c>
      <c r="G805" s="111">
        <v>253800</v>
      </c>
      <c r="H805" s="18" t="s">
        <v>5</v>
      </c>
      <c r="I805" s="112" t="e">
        <f>IF(Paid[[#This Row],[Currency]]="USD",Paid[[#This Row],[Montant]],Paid[[#This Row],[Montant]]/VLOOKUP(Paid[[#This Row],[Date Paid]],TableCurrencyRate[#All],2,FALSE))</f>
        <v>#N/A</v>
      </c>
    </row>
    <row r="806" spans="2:9" x14ac:dyDescent="0.2">
      <c r="B806" s="113">
        <v>43965</v>
      </c>
      <c r="C806" s="108">
        <v>43965</v>
      </c>
      <c r="D806" s="109"/>
      <c r="E806" s="10" t="s">
        <v>650</v>
      </c>
      <c r="F806" s="11" t="s">
        <v>708</v>
      </c>
      <c r="G806" s="111">
        <v>200000</v>
      </c>
      <c r="H806" s="18" t="s">
        <v>5</v>
      </c>
      <c r="I806" s="112" t="e">
        <f>IF(Paid[[#This Row],[Currency]]="USD",Paid[[#This Row],[Montant]],Paid[[#This Row],[Montant]]/VLOOKUP(Paid[[#This Row],[Date Paid]],TableCurrencyRate[#All],2,FALSE))</f>
        <v>#N/A</v>
      </c>
    </row>
    <row r="807" spans="2:9" x14ac:dyDescent="0.2">
      <c r="B807" s="113">
        <v>43965</v>
      </c>
      <c r="C807" s="108">
        <v>43965</v>
      </c>
      <c r="D807" s="109"/>
      <c r="E807" s="109"/>
      <c r="F807" s="11" t="s">
        <v>866</v>
      </c>
      <c r="G807" s="111">
        <f>185000-6800</f>
        <v>178200</v>
      </c>
      <c r="H807" s="18" t="s">
        <v>5</v>
      </c>
      <c r="I807" s="112" t="e">
        <f>IF(Paid[[#This Row],[Currency]]="USD",Paid[[#This Row],[Montant]],Paid[[#This Row],[Montant]]/VLOOKUP(Paid[[#This Row],[Date Paid]],TableCurrencyRate[#All],2,FALSE))</f>
        <v>#N/A</v>
      </c>
    </row>
    <row r="808" spans="2:9" x14ac:dyDescent="0.2">
      <c r="B808" s="113">
        <v>43967</v>
      </c>
      <c r="C808" s="108">
        <v>43967</v>
      </c>
      <c r="D808" s="109"/>
      <c r="E808" s="109"/>
      <c r="F808" s="11" t="s">
        <v>867</v>
      </c>
      <c r="G808" s="111">
        <v>50000</v>
      </c>
      <c r="H808" s="18" t="s">
        <v>5</v>
      </c>
      <c r="I808" s="112" t="e">
        <f>IF(Paid[[#This Row],[Currency]]="USD",Paid[[#This Row],[Montant]],Paid[[#This Row],[Montant]]/VLOOKUP(Paid[[#This Row],[Date Paid]],TableCurrencyRate[#All],2,FALSE))</f>
        <v>#N/A</v>
      </c>
    </row>
    <row r="809" spans="2:9" x14ac:dyDescent="0.2">
      <c r="B809" s="113">
        <v>43967</v>
      </c>
      <c r="C809" s="108">
        <v>43967</v>
      </c>
      <c r="D809" s="109"/>
      <c r="E809" s="109"/>
      <c r="F809" s="11" t="s">
        <v>526</v>
      </c>
      <c r="G809" s="111">
        <v>692</v>
      </c>
      <c r="H809" s="18" t="s">
        <v>6</v>
      </c>
      <c r="I809" s="112">
        <f>IF(Paid[[#This Row],[Currency]]="USD",Paid[[#This Row],[Montant]],Paid[[#This Row],[Montant]]/VLOOKUP(Paid[[#This Row],[Date Paid]],TableCurrencyRate[#All],2,FALSE))</f>
        <v>692</v>
      </c>
    </row>
    <row r="810" spans="2:9" x14ac:dyDescent="0.2">
      <c r="B810" s="113">
        <v>43969</v>
      </c>
      <c r="C810" s="108">
        <v>43969</v>
      </c>
      <c r="D810" s="109"/>
      <c r="E810" s="109"/>
      <c r="F810" s="11" t="s">
        <v>868</v>
      </c>
      <c r="G810" s="111">
        <v>260000</v>
      </c>
      <c r="H810" s="18" t="s">
        <v>5</v>
      </c>
      <c r="I810" s="112" t="e">
        <f>IF(Paid[[#This Row],[Currency]]="USD",Paid[[#This Row],[Montant]],Paid[[#This Row],[Montant]]/VLOOKUP(Paid[[#This Row],[Date Paid]],TableCurrencyRate[#All],2,FALSE))</f>
        <v>#N/A</v>
      </c>
    </row>
    <row r="811" spans="2:9" x14ac:dyDescent="0.2">
      <c r="B811" s="113">
        <v>43972</v>
      </c>
      <c r="C811" s="108">
        <v>43972</v>
      </c>
      <c r="D811" s="109"/>
      <c r="E811" s="109"/>
      <c r="F811" s="11" t="s">
        <v>871</v>
      </c>
      <c r="G811" s="111">
        <f>58600-6500</f>
        <v>52100</v>
      </c>
      <c r="H811" s="18" t="s">
        <v>5</v>
      </c>
      <c r="I811" s="112" t="e">
        <f>IF(Paid[[#This Row],[Currency]]="USD",Paid[[#This Row],[Montant]],Paid[[#This Row],[Montant]]/VLOOKUP(Paid[[#This Row],[Date Paid]],TableCurrencyRate[#All],2,FALSE))</f>
        <v>#N/A</v>
      </c>
    </row>
    <row r="812" spans="2:9" x14ac:dyDescent="0.2">
      <c r="B812" s="113">
        <v>43972</v>
      </c>
      <c r="C812" s="108">
        <v>43972</v>
      </c>
      <c r="D812" s="109"/>
      <c r="E812" s="10" t="s">
        <v>650</v>
      </c>
      <c r="F812" s="11" t="s">
        <v>869</v>
      </c>
      <c r="G812" s="111">
        <f>87500-57050</f>
        <v>30450</v>
      </c>
      <c r="H812" s="18" t="s">
        <v>5</v>
      </c>
      <c r="I812" s="112" t="e">
        <f>IF(Paid[[#This Row],[Currency]]="USD",Paid[[#This Row],[Montant]],Paid[[#This Row],[Montant]]/VLOOKUP(Paid[[#This Row],[Date Paid]],TableCurrencyRate[#All],2,FALSE))</f>
        <v>#N/A</v>
      </c>
    </row>
    <row r="813" spans="2:9" x14ac:dyDescent="0.2">
      <c r="B813" s="113">
        <v>43972</v>
      </c>
      <c r="C813" s="108">
        <v>43972</v>
      </c>
      <c r="D813" s="109"/>
      <c r="E813" s="109"/>
      <c r="F813" s="11" t="s">
        <v>870</v>
      </c>
      <c r="G813" s="111">
        <f>36100-11750</f>
        <v>24350</v>
      </c>
      <c r="H813" s="18" t="s">
        <v>5</v>
      </c>
      <c r="I813" s="112" t="e">
        <f>IF(Paid[[#This Row],[Currency]]="USD",Paid[[#This Row],[Montant]],Paid[[#This Row],[Montant]]/VLOOKUP(Paid[[#This Row],[Date Paid]],TableCurrencyRate[#All],2,FALSE))</f>
        <v>#N/A</v>
      </c>
    </row>
    <row r="814" spans="2:9" x14ac:dyDescent="0.2">
      <c r="B814" s="113">
        <v>43972</v>
      </c>
      <c r="C814" s="108">
        <v>43972</v>
      </c>
      <c r="D814" s="109"/>
      <c r="E814" s="109"/>
      <c r="F814" s="11" t="s">
        <v>872</v>
      </c>
      <c r="G814" s="111">
        <f>130500-29000</f>
        <v>101500</v>
      </c>
      <c r="H814" s="18" t="s">
        <v>5</v>
      </c>
      <c r="I814" s="112" t="e">
        <f>IF(Paid[[#This Row],[Currency]]="USD",Paid[[#This Row],[Montant]],Paid[[#This Row],[Montant]]/VLOOKUP(Paid[[#This Row],[Date Paid]],TableCurrencyRate[#All],2,FALSE))</f>
        <v>#N/A</v>
      </c>
    </row>
    <row r="815" spans="2:9" x14ac:dyDescent="0.2">
      <c r="B815" s="113">
        <v>43972</v>
      </c>
      <c r="C815" s="108">
        <v>43972</v>
      </c>
      <c r="D815" s="109"/>
      <c r="E815" s="10" t="s">
        <v>873</v>
      </c>
      <c r="F815" s="11" t="s">
        <v>874</v>
      </c>
      <c r="G815" s="111">
        <f>250500-106200</f>
        <v>144300</v>
      </c>
      <c r="H815" s="18" t="s">
        <v>5</v>
      </c>
      <c r="I815" s="112" t="e">
        <f>IF(Paid[[#This Row],[Currency]]="USD",Paid[[#This Row],[Montant]],Paid[[#This Row],[Montant]]/VLOOKUP(Paid[[#This Row],[Date Paid]],TableCurrencyRate[#All],2,FALSE))</f>
        <v>#N/A</v>
      </c>
    </row>
    <row r="816" spans="2:9" x14ac:dyDescent="0.2">
      <c r="B816" s="113">
        <v>43972</v>
      </c>
      <c r="C816" s="108">
        <v>43972</v>
      </c>
      <c r="D816" s="109"/>
      <c r="E816" s="109"/>
      <c r="F816" s="11" t="s">
        <v>875</v>
      </c>
      <c r="G816" s="111">
        <v>112400</v>
      </c>
      <c r="H816" s="18" t="s">
        <v>5</v>
      </c>
      <c r="I816" s="112" t="e">
        <f>IF(Paid[[#This Row],[Currency]]="USD",Paid[[#This Row],[Montant]],Paid[[#This Row],[Montant]]/VLOOKUP(Paid[[#This Row],[Date Paid]],TableCurrencyRate[#All],2,FALSE))</f>
        <v>#N/A</v>
      </c>
    </row>
    <row r="817" spans="2:9" x14ac:dyDescent="0.2">
      <c r="B817" s="113">
        <v>43972</v>
      </c>
      <c r="C817" s="108">
        <v>43972</v>
      </c>
      <c r="D817" s="109"/>
      <c r="E817" s="10" t="s">
        <v>650</v>
      </c>
      <c r="F817" s="11" t="s">
        <v>878</v>
      </c>
      <c r="G817" s="111">
        <v>18000</v>
      </c>
      <c r="H817" s="18" t="s">
        <v>5</v>
      </c>
      <c r="I817" s="112" t="e">
        <f>IF(Paid[[#This Row],[Currency]]="USD",Paid[[#This Row],[Montant]],Paid[[#This Row],[Montant]]/VLOOKUP(Paid[[#This Row],[Date Paid]],TableCurrencyRate[#All],2,FALSE))</f>
        <v>#N/A</v>
      </c>
    </row>
    <row r="818" spans="2:9" x14ac:dyDescent="0.2">
      <c r="B818" s="113">
        <v>43974</v>
      </c>
      <c r="C818" s="108">
        <v>43974</v>
      </c>
      <c r="D818" s="109"/>
      <c r="E818" s="10" t="s">
        <v>876</v>
      </c>
      <c r="F818" s="11" t="s">
        <v>877</v>
      </c>
      <c r="G818" s="111">
        <f>178500-57400</f>
        <v>121100</v>
      </c>
      <c r="H818" s="18" t="s">
        <v>5</v>
      </c>
      <c r="I818" s="112" t="e">
        <f>IF(Paid[[#This Row],[Currency]]="USD",Paid[[#This Row],[Montant]],Paid[[#This Row],[Montant]]/VLOOKUP(Paid[[#This Row],[Date Paid]],TableCurrencyRate[#All],2,FALSE))</f>
        <v>#N/A</v>
      </c>
    </row>
    <row r="819" spans="2:9" x14ac:dyDescent="0.2">
      <c r="B819" s="113">
        <v>43974</v>
      </c>
      <c r="C819" s="108">
        <v>43974</v>
      </c>
      <c r="D819" s="109"/>
      <c r="E819" s="10" t="s">
        <v>879</v>
      </c>
      <c r="F819" s="11" t="s">
        <v>880</v>
      </c>
      <c r="G819" s="111">
        <f>28000-3800</f>
        <v>24200</v>
      </c>
      <c r="H819" s="18" t="s">
        <v>5</v>
      </c>
      <c r="I819" s="112" t="e">
        <f>IF(Paid[[#This Row],[Currency]]="USD",Paid[[#This Row],[Montant]],Paid[[#This Row],[Montant]]/VLOOKUP(Paid[[#This Row],[Date Paid]],TableCurrencyRate[#All],2,FALSE))</f>
        <v>#N/A</v>
      </c>
    </row>
    <row r="820" spans="2:9" x14ac:dyDescent="0.2">
      <c r="B820" s="113">
        <v>43977</v>
      </c>
      <c r="C820" s="108">
        <v>43977</v>
      </c>
      <c r="D820" s="109"/>
      <c r="E820" s="10"/>
      <c r="F820" s="11" t="s">
        <v>640</v>
      </c>
      <c r="G820" s="111">
        <f>89500-13000</f>
        <v>76500</v>
      </c>
      <c r="H820" s="18" t="s">
        <v>5</v>
      </c>
      <c r="I820" s="112" t="e">
        <f>IF(Paid[[#This Row],[Currency]]="USD",Paid[[#This Row],[Montant]],Paid[[#This Row],[Montant]]/VLOOKUP(Paid[[#This Row],[Date Paid]],TableCurrencyRate[#All],2,FALSE))</f>
        <v>#N/A</v>
      </c>
    </row>
    <row r="821" spans="2:9" x14ac:dyDescent="0.2">
      <c r="B821" s="113">
        <v>43977</v>
      </c>
      <c r="C821" s="108">
        <v>43977</v>
      </c>
      <c r="D821" s="109"/>
      <c r="E821" s="10" t="s">
        <v>879</v>
      </c>
      <c r="F821" s="11" t="s">
        <v>881</v>
      </c>
      <c r="G821" s="111">
        <v>217125</v>
      </c>
      <c r="H821" s="18" t="s">
        <v>5</v>
      </c>
      <c r="I821" s="112" t="e">
        <f>IF(Paid[[#This Row],[Currency]]="USD",Paid[[#This Row],[Montant]],Paid[[#This Row],[Montant]]/VLOOKUP(Paid[[#This Row],[Date Paid]],TableCurrencyRate[#All],2,FALSE))</f>
        <v>#N/A</v>
      </c>
    </row>
    <row r="822" spans="2:9" x14ac:dyDescent="0.2">
      <c r="B822" s="113">
        <v>43977</v>
      </c>
      <c r="C822" s="108">
        <v>43977</v>
      </c>
      <c r="D822" s="109"/>
      <c r="E822" s="109"/>
      <c r="F822" s="11" t="s">
        <v>882</v>
      </c>
      <c r="G822" s="111">
        <v>22000</v>
      </c>
      <c r="H822" s="18" t="s">
        <v>5</v>
      </c>
      <c r="I822" s="112" t="e">
        <f>IF(Paid[[#This Row],[Currency]]="USD",Paid[[#This Row],[Montant]],Paid[[#This Row],[Montant]]/VLOOKUP(Paid[[#This Row],[Date Paid]],TableCurrencyRate[#All],2,FALSE))</f>
        <v>#N/A</v>
      </c>
    </row>
    <row r="823" spans="2:9" x14ac:dyDescent="0.2">
      <c r="B823" s="113">
        <v>43977</v>
      </c>
      <c r="C823" s="108">
        <v>43977</v>
      </c>
      <c r="D823" s="109"/>
      <c r="E823" s="109"/>
      <c r="F823" s="11" t="s">
        <v>883</v>
      </c>
      <c r="G823" s="111">
        <f>235000+130000+3200+8200</f>
        <v>376400</v>
      </c>
      <c r="H823" s="18" t="s">
        <v>5</v>
      </c>
      <c r="I823" s="112" t="e">
        <f>IF(Paid[[#This Row],[Currency]]="USD",Paid[[#This Row],[Montant]],Paid[[#This Row],[Montant]]/VLOOKUP(Paid[[#This Row],[Date Paid]],TableCurrencyRate[#All],2,FALSE))</f>
        <v>#N/A</v>
      </c>
    </row>
    <row r="824" spans="2:9" x14ac:dyDescent="0.2">
      <c r="B824" s="113">
        <v>43984</v>
      </c>
      <c r="C824" s="108">
        <v>43984</v>
      </c>
      <c r="D824" s="109"/>
      <c r="E824" s="10" t="s">
        <v>737</v>
      </c>
      <c r="F824" s="11" t="s">
        <v>884</v>
      </c>
      <c r="G824" s="111">
        <f>45000-11350</f>
        <v>33650</v>
      </c>
      <c r="H824" s="18" t="s">
        <v>5</v>
      </c>
      <c r="I824" s="112" t="e">
        <f>IF(Paid[[#This Row],[Currency]]="USD",Paid[[#This Row],[Montant]],Paid[[#This Row],[Montant]]/VLOOKUP(Paid[[#This Row],[Date Paid]],TableCurrencyRate[#All],2,FALSE))</f>
        <v>#N/A</v>
      </c>
    </row>
    <row r="825" spans="2:9" x14ac:dyDescent="0.2">
      <c r="B825" s="113">
        <v>43986</v>
      </c>
      <c r="C825" s="108">
        <v>43986</v>
      </c>
      <c r="D825" s="109"/>
      <c r="E825" s="109"/>
      <c r="F825" s="11" t="s">
        <v>885</v>
      </c>
      <c r="G825" s="111">
        <f>7361767+3278858+652453</f>
        <v>11293078</v>
      </c>
      <c r="H825" s="18" t="s">
        <v>5</v>
      </c>
      <c r="I825" s="112" t="e">
        <f>IF(Paid[[#This Row],[Currency]]="USD",Paid[[#This Row],[Montant]],Paid[[#This Row],[Montant]]/VLOOKUP(Paid[[#This Row],[Date Paid]],TableCurrencyRate[#All],2,FALSE))</f>
        <v>#N/A</v>
      </c>
    </row>
    <row r="826" spans="2:9" x14ac:dyDescent="0.2">
      <c r="B826" s="113">
        <v>43986</v>
      </c>
      <c r="C826" s="108">
        <v>43986</v>
      </c>
      <c r="D826" s="109"/>
      <c r="E826" s="10" t="s">
        <v>887</v>
      </c>
      <c r="F826" s="11" t="s">
        <v>886</v>
      </c>
      <c r="G826" s="111">
        <f>48500-9000</f>
        <v>39500</v>
      </c>
      <c r="H826" s="18" t="s">
        <v>5</v>
      </c>
      <c r="I826" s="112" t="e">
        <f>IF(Paid[[#This Row],[Currency]]="USD",Paid[[#This Row],[Montant]],Paid[[#This Row],[Montant]]/VLOOKUP(Paid[[#This Row],[Date Paid]],TableCurrencyRate[#All],2,FALSE))</f>
        <v>#N/A</v>
      </c>
    </row>
    <row r="827" spans="2:9" x14ac:dyDescent="0.2">
      <c r="B827" s="113">
        <v>43991</v>
      </c>
      <c r="C827" s="108">
        <v>43991</v>
      </c>
      <c r="D827" s="109"/>
      <c r="E827" s="109"/>
      <c r="F827" s="11" t="s">
        <v>888</v>
      </c>
      <c r="G827" s="111">
        <v>620000</v>
      </c>
      <c r="H827" s="18" t="s">
        <v>5</v>
      </c>
      <c r="I827" s="112" t="e">
        <f>IF(Paid[[#This Row],[Currency]]="USD",Paid[[#This Row],[Montant]],Paid[[#This Row],[Montant]]/VLOOKUP(Paid[[#This Row],[Date Paid]],TableCurrencyRate[#All],2,FALSE))</f>
        <v>#N/A</v>
      </c>
    </row>
    <row r="828" spans="2:9" x14ac:dyDescent="0.2">
      <c r="B828" s="113">
        <v>43991</v>
      </c>
      <c r="C828" s="108">
        <v>43991</v>
      </c>
      <c r="D828" s="10" t="s">
        <v>46</v>
      </c>
      <c r="E828" s="10"/>
      <c r="F828" s="11" t="s">
        <v>29</v>
      </c>
      <c r="G828" s="111">
        <v>289600</v>
      </c>
      <c r="H828" s="18" t="s">
        <v>5</v>
      </c>
      <c r="I828" s="112" t="e">
        <f>IF(Paid[[#This Row],[Currency]]="USD",Paid[[#This Row],[Montant]],Paid[[#This Row],[Montant]]/VLOOKUP(Paid[[#This Row],[Date Paid]],TableCurrencyRate[#All],2,FALSE))</f>
        <v>#N/A</v>
      </c>
    </row>
    <row r="829" spans="2:9" x14ac:dyDescent="0.2">
      <c r="B829" s="113">
        <v>43991</v>
      </c>
      <c r="C829" s="108">
        <v>43991</v>
      </c>
      <c r="D829" s="109"/>
      <c r="E829" s="109"/>
      <c r="F829" s="11" t="s">
        <v>889</v>
      </c>
      <c r="G829" s="111">
        <v>11700</v>
      </c>
      <c r="H829" s="18" t="s">
        <v>5</v>
      </c>
      <c r="I829" s="112" t="e">
        <f>IF(Paid[[#This Row],[Currency]]="USD",Paid[[#This Row],[Montant]],Paid[[#This Row],[Montant]]/VLOOKUP(Paid[[#This Row],[Date Paid]],TableCurrencyRate[#All],2,FALSE))</f>
        <v>#N/A</v>
      </c>
    </row>
    <row r="830" spans="2:9" x14ac:dyDescent="0.2">
      <c r="B830" s="113">
        <v>43991</v>
      </c>
      <c r="C830" s="108">
        <v>43991</v>
      </c>
      <c r="D830" s="109"/>
      <c r="E830" s="109"/>
      <c r="F830" s="11" t="s">
        <v>890</v>
      </c>
      <c r="G830" s="111">
        <v>34500</v>
      </c>
      <c r="H830" s="18" t="s">
        <v>5</v>
      </c>
      <c r="I830" s="112" t="e">
        <f>IF(Paid[[#This Row],[Currency]]="USD",Paid[[#This Row],[Montant]],Paid[[#This Row],[Montant]]/VLOOKUP(Paid[[#This Row],[Date Paid]],TableCurrencyRate[#All],2,FALSE))</f>
        <v>#N/A</v>
      </c>
    </row>
    <row r="831" spans="2:9" x14ac:dyDescent="0.2">
      <c r="B831" s="113">
        <v>43991</v>
      </c>
      <c r="C831" s="108">
        <v>43991</v>
      </c>
      <c r="D831" s="109"/>
      <c r="E831" s="109"/>
      <c r="F831" s="11" t="s">
        <v>891</v>
      </c>
      <c r="G831" s="111">
        <v>39900</v>
      </c>
      <c r="H831" s="18" t="s">
        <v>5</v>
      </c>
      <c r="I831" s="112" t="e">
        <f>IF(Paid[[#This Row],[Currency]]="USD",Paid[[#This Row],[Montant]],Paid[[#This Row],[Montant]]/VLOOKUP(Paid[[#This Row],[Date Paid]],TableCurrencyRate[#All],2,FALSE))</f>
        <v>#N/A</v>
      </c>
    </row>
    <row r="832" spans="2:9" x14ac:dyDescent="0.2">
      <c r="B832" s="113">
        <v>43993</v>
      </c>
      <c r="C832" s="108">
        <v>43993</v>
      </c>
      <c r="D832" s="109"/>
      <c r="E832" s="10" t="s">
        <v>650</v>
      </c>
      <c r="F832" s="11" t="s">
        <v>892</v>
      </c>
      <c r="G832" s="111">
        <f>93600-300</f>
        <v>93300</v>
      </c>
      <c r="H832" s="18" t="s">
        <v>5</v>
      </c>
      <c r="I832" s="112" t="e">
        <f>IF(Paid[[#This Row],[Currency]]="USD",Paid[[#This Row],[Montant]],Paid[[#This Row],[Montant]]/VLOOKUP(Paid[[#This Row],[Date Paid]],TableCurrencyRate[#All],2,FALSE))</f>
        <v>#N/A</v>
      </c>
    </row>
    <row r="833" spans="2:9" x14ac:dyDescent="0.2">
      <c r="B833" s="113">
        <v>43993</v>
      </c>
      <c r="C833" s="108">
        <v>43993</v>
      </c>
      <c r="D833" s="109"/>
      <c r="E833" s="109"/>
      <c r="F833" s="11" t="s">
        <v>893</v>
      </c>
      <c r="G833" s="111">
        <f>68000+4500</f>
        <v>72500</v>
      </c>
      <c r="H833" s="18" t="s">
        <v>5</v>
      </c>
      <c r="I833" s="112" t="e">
        <f>IF(Paid[[#This Row],[Currency]]="USD",Paid[[#This Row],[Montant]],Paid[[#This Row],[Montant]]/VLOOKUP(Paid[[#This Row],[Date Paid]],TableCurrencyRate[#All],2,FALSE))</f>
        <v>#N/A</v>
      </c>
    </row>
    <row r="834" spans="2:9" x14ac:dyDescent="0.2">
      <c r="B834" s="113">
        <v>43993</v>
      </c>
      <c r="C834" s="108">
        <v>43993</v>
      </c>
      <c r="D834" s="109"/>
      <c r="E834" s="109"/>
      <c r="F834" s="11" t="s">
        <v>895</v>
      </c>
      <c r="G834" s="111">
        <v>500000</v>
      </c>
      <c r="H834" s="18" t="s">
        <v>5</v>
      </c>
      <c r="I834" s="112" t="e">
        <f>IF(Paid[[#This Row],[Currency]]="USD",Paid[[#This Row],[Montant]],Paid[[#This Row],[Montant]]/VLOOKUP(Paid[[#This Row],[Date Paid]],TableCurrencyRate[#All],2,FALSE))</f>
        <v>#N/A</v>
      </c>
    </row>
    <row r="835" spans="2:9" x14ac:dyDescent="0.2">
      <c r="B835" s="113">
        <v>43993</v>
      </c>
      <c r="C835" s="108">
        <v>43993</v>
      </c>
      <c r="D835" s="109"/>
      <c r="E835" s="109"/>
      <c r="F835" s="11" t="s">
        <v>894</v>
      </c>
      <c r="G835" s="111">
        <v>500000</v>
      </c>
      <c r="H835" s="18" t="s">
        <v>5</v>
      </c>
      <c r="I835" s="112" t="e">
        <f>IF(Paid[[#This Row],[Currency]]="USD",Paid[[#This Row],[Montant]],Paid[[#This Row],[Montant]]/VLOOKUP(Paid[[#This Row],[Date Paid]],TableCurrencyRate[#All],2,FALSE))</f>
        <v>#N/A</v>
      </c>
    </row>
    <row r="836" spans="2:9" x14ac:dyDescent="0.2">
      <c r="B836" s="113">
        <v>43993</v>
      </c>
      <c r="C836" s="108">
        <v>43993</v>
      </c>
      <c r="D836" s="109"/>
      <c r="E836" s="109"/>
      <c r="F836" s="11" t="s">
        <v>896</v>
      </c>
      <c r="G836" s="111">
        <f>365000+16200</f>
        <v>381200</v>
      </c>
      <c r="H836" s="18" t="s">
        <v>5</v>
      </c>
      <c r="I836" s="112" t="e">
        <f>IF(Paid[[#This Row],[Currency]]="USD",Paid[[#This Row],[Montant]],Paid[[#This Row],[Montant]]/VLOOKUP(Paid[[#This Row],[Date Paid]],TableCurrencyRate[#All],2,FALSE))</f>
        <v>#N/A</v>
      </c>
    </row>
    <row r="837" spans="2:9" x14ac:dyDescent="0.2">
      <c r="B837" s="113">
        <v>43993</v>
      </c>
      <c r="C837" s="108">
        <v>43993</v>
      </c>
      <c r="D837" s="109"/>
      <c r="E837" s="10" t="s">
        <v>887</v>
      </c>
      <c r="F837" s="11" t="s">
        <v>897</v>
      </c>
      <c r="G837" s="111">
        <v>1220000</v>
      </c>
      <c r="H837" s="18" t="s">
        <v>5</v>
      </c>
      <c r="I837" s="112" t="e">
        <f>IF(Paid[[#This Row],[Currency]]="USD",Paid[[#This Row],[Montant]],Paid[[#This Row],[Montant]]/VLOOKUP(Paid[[#This Row],[Date Paid]],TableCurrencyRate[#All],2,FALSE))</f>
        <v>#N/A</v>
      </c>
    </row>
    <row r="838" spans="2:9" x14ac:dyDescent="0.2">
      <c r="B838" s="113">
        <v>43999</v>
      </c>
      <c r="C838" s="108">
        <v>43999</v>
      </c>
      <c r="D838" s="109"/>
      <c r="E838" s="10" t="s">
        <v>887</v>
      </c>
      <c r="F838" s="11" t="s">
        <v>898</v>
      </c>
      <c r="G838" s="111">
        <v>49100</v>
      </c>
      <c r="H838" s="18" t="s">
        <v>5</v>
      </c>
      <c r="I838" s="112" t="e">
        <f>IF(Paid[[#This Row],[Currency]]="USD",Paid[[#This Row],[Montant]],Paid[[#This Row],[Montant]]/VLOOKUP(Paid[[#This Row],[Date Paid]],TableCurrencyRate[#All],2,FALSE))</f>
        <v>#N/A</v>
      </c>
    </row>
    <row r="839" spans="2:9" x14ac:dyDescent="0.2">
      <c r="B839" s="113">
        <v>44000</v>
      </c>
      <c r="C839" s="108">
        <v>44000</v>
      </c>
      <c r="D839" s="109"/>
      <c r="E839" s="10" t="s">
        <v>879</v>
      </c>
      <c r="F839" s="11" t="s">
        <v>456</v>
      </c>
      <c r="G839" s="111">
        <v>281250</v>
      </c>
      <c r="H839" s="18" t="s">
        <v>5</v>
      </c>
      <c r="I839" s="112" t="e">
        <f>IF(Paid[[#This Row],[Currency]]="USD",Paid[[#This Row],[Montant]],Paid[[#This Row],[Montant]]/VLOOKUP(Paid[[#This Row],[Date Paid]],TableCurrencyRate[#All],2,FALSE))</f>
        <v>#N/A</v>
      </c>
    </row>
    <row r="840" spans="2:9" x14ac:dyDescent="0.2">
      <c r="B840" s="113">
        <v>44000</v>
      </c>
      <c r="C840" s="108">
        <v>43993</v>
      </c>
      <c r="D840" s="109"/>
      <c r="E840" s="10" t="s">
        <v>836</v>
      </c>
      <c r="F840" s="11" t="s">
        <v>837</v>
      </c>
      <c r="G840" s="111">
        <f>36000-22000</f>
        <v>14000</v>
      </c>
      <c r="H840" s="18" t="s">
        <v>5</v>
      </c>
      <c r="I840" s="112" t="e">
        <f>IF(Paid[[#This Row],[Currency]]="USD",Paid[[#This Row],[Montant]],Paid[[#This Row],[Montant]]/VLOOKUP(Paid[[#This Row],[Date Paid]],TableCurrencyRate[#All],2,FALSE))</f>
        <v>#N/A</v>
      </c>
    </row>
    <row r="841" spans="2:9" x14ac:dyDescent="0.2">
      <c r="B841" s="113">
        <v>44000</v>
      </c>
      <c r="C841" s="108">
        <v>43995</v>
      </c>
      <c r="D841" s="109"/>
      <c r="E841" s="109" t="s">
        <v>813</v>
      </c>
      <c r="F841" s="110" t="s">
        <v>842</v>
      </c>
      <c r="G841" s="111">
        <f>23800-1300</f>
        <v>22500</v>
      </c>
      <c r="H841" s="111" t="s">
        <v>5</v>
      </c>
      <c r="I841" s="112" t="e">
        <f>IF(Paid[[#This Row],[Currency]]="USD",Paid[[#This Row],[Montant]],Paid[[#This Row],[Montant]]/VLOOKUP(Paid[[#This Row],[Date Paid]],TableCurrencyRate[#All],2,FALSE))</f>
        <v>#N/A</v>
      </c>
    </row>
    <row r="842" spans="2:9" x14ac:dyDescent="0.2">
      <c r="B842" s="113">
        <v>44000</v>
      </c>
      <c r="C842" s="108">
        <v>43993</v>
      </c>
      <c r="D842" s="109"/>
      <c r="E842" s="109" t="s">
        <v>836</v>
      </c>
      <c r="F842" s="110" t="s">
        <v>841</v>
      </c>
      <c r="G842" s="111">
        <f>40000-5000</f>
        <v>35000</v>
      </c>
      <c r="H842" s="111" t="s">
        <v>5</v>
      </c>
      <c r="I842" s="112" t="e">
        <f>IF(Paid[[#This Row],[Currency]]="USD",Paid[[#This Row],[Montant]],Paid[[#This Row],[Montant]]/VLOOKUP(Paid[[#This Row],[Date Paid]],TableCurrencyRate[#All],2,FALSE))</f>
        <v>#N/A</v>
      </c>
    </row>
    <row r="843" spans="2:9" x14ac:dyDescent="0.2">
      <c r="B843" s="113">
        <v>44000</v>
      </c>
      <c r="C843" s="108">
        <v>43995</v>
      </c>
      <c r="D843" s="109"/>
      <c r="E843" s="109" t="s">
        <v>650</v>
      </c>
      <c r="F843" s="110" t="s">
        <v>838</v>
      </c>
      <c r="G843" s="111">
        <v>250000</v>
      </c>
      <c r="H843" s="111" t="s">
        <v>5</v>
      </c>
      <c r="I843" s="112" t="e">
        <f>IF(Paid[[#This Row],[Currency]]="USD",Paid[[#This Row],[Montant]],Paid[[#This Row],[Montant]]/VLOOKUP(Paid[[#This Row],[Date Paid]],TableCurrencyRate[#All],2,FALSE))</f>
        <v>#N/A</v>
      </c>
    </row>
    <row r="844" spans="2:9" x14ac:dyDescent="0.2">
      <c r="B844" s="113">
        <v>44000</v>
      </c>
      <c r="C844" s="108">
        <v>43993</v>
      </c>
      <c r="D844" s="109"/>
      <c r="E844" s="109" t="s">
        <v>813</v>
      </c>
      <c r="F844" s="110" t="s">
        <v>839</v>
      </c>
      <c r="G844" s="111">
        <v>71920</v>
      </c>
      <c r="H844" s="111" t="s">
        <v>5</v>
      </c>
      <c r="I844" s="112" t="e">
        <f>IF(Paid[[#This Row],[Currency]]="USD",Paid[[#This Row],[Montant]],Paid[[#This Row],[Montant]]/VLOOKUP(Paid[[#This Row],[Date Paid]],TableCurrencyRate[#All],2,FALSE))</f>
        <v>#N/A</v>
      </c>
    </row>
    <row r="845" spans="2:9" x14ac:dyDescent="0.2">
      <c r="B845" s="113">
        <v>44000</v>
      </c>
      <c r="C845" s="108">
        <v>43990</v>
      </c>
      <c r="D845" s="109"/>
      <c r="E845" s="109"/>
      <c r="F845" s="110" t="s">
        <v>860</v>
      </c>
      <c r="G845" s="111">
        <v>10000</v>
      </c>
      <c r="H845" s="111" t="s">
        <v>5</v>
      </c>
      <c r="I845" s="112" t="e">
        <f>IF(Paid[[#This Row],[Currency]]="USD",Paid[[#This Row],[Montant]],Paid[[#This Row],[Montant]]/VLOOKUP(Paid[[#This Row],[Date Paid]],TableCurrencyRate[#All],2,FALSE))</f>
        <v>#N/A</v>
      </c>
    </row>
    <row r="846" spans="2:9" x14ac:dyDescent="0.2">
      <c r="B846" s="113">
        <v>44000</v>
      </c>
      <c r="C846" s="108">
        <v>43897</v>
      </c>
      <c r="D846" s="109"/>
      <c r="E846" s="109"/>
      <c r="F846" s="110" t="s">
        <v>817</v>
      </c>
      <c r="G846" s="111">
        <v>751250</v>
      </c>
      <c r="H846" s="111" t="s">
        <v>5</v>
      </c>
      <c r="I846" s="112" t="e">
        <f>IF(Paid[[#This Row],[Currency]]="USD",Paid[[#This Row],[Montant]],Paid[[#This Row],[Montant]]/VLOOKUP(Paid[[#This Row],[Date Paid]],TableCurrencyRate[#All],2,FALSE))</f>
        <v>#N/A</v>
      </c>
    </row>
    <row r="847" spans="2:9" x14ac:dyDescent="0.2">
      <c r="B847" s="113">
        <v>44000</v>
      </c>
      <c r="C847" s="108">
        <v>43984</v>
      </c>
      <c r="D847" s="109"/>
      <c r="E847" s="109"/>
      <c r="F847" s="110" t="s">
        <v>864</v>
      </c>
      <c r="G847" s="111">
        <v>692.25</v>
      </c>
      <c r="H847" s="111" t="s">
        <v>6</v>
      </c>
      <c r="I847" s="112">
        <f>IF(Paid[[#This Row],[Currency]]="USD",Paid[[#This Row],[Montant]],Paid[[#This Row],[Montant]]/VLOOKUP(Paid[[#This Row],[Date Paid]],TableCurrencyRate[#All],2,FALSE))</f>
        <v>692.25</v>
      </c>
    </row>
    <row r="848" spans="2:9" x14ac:dyDescent="0.2">
      <c r="B848" s="113">
        <v>44000</v>
      </c>
      <c r="C848" s="108">
        <v>43967</v>
      </c>
      <c r="D848" s="109"/>
      <c r="E848" s="109"/>
      <c r="F848" s="110" t="s">
        <v>863</v>
      </c>
      <c r="G848" s="111">
        <v>250000</v>
      </c>
      <c r="H848" s="111" t="s">
        <v>5</v>
      </c>
      <c r="I848" s="112" t="e">
        <f>IF(Paid[[#This Row],[Currency]]="USD",Paid[[#This Row],[Montant]],Paid[[#This Row],[Montant]]/VLOOKUP(Paid[[#This Row],[Date Paid]],TableCurrencyRate[#All],2,FALSE))</f>
        <v>#N/A</v>
      </c>
    </row>
    <row r="849" spans="2:9" x14ac:dyDescent="0.2">
      <c r="B849" s="12">
        <v>44005</v>
      </c>
      <c r="C849" s="13">
        <v>43999</v>
      </c>
      <c r="D849" s="14"/>
      <c r="E849" s="14"/>
      <c r="F849" s="15" t="s">
        <v>899</v>
      </c>
      <c r="G849" s="21">
        <v>1000</v>
      </c>
      <c r="H849" s="16" t="s">
        <v>5</v>
      </c>
      <c r="I849" s="19" t="e">
        <f>IF(Paid[[#This Row],[Currency]]="USD",Paid[[#This Row],[Montant]],Paid[[#This Row],[Montant]]/VLOOKUP(Paid[[#This Row],[Date Paid]],TableCurrencyRate[#All],2,FALSE))</f>
        <v>#N/A</v>
      </c>
    </row>
    <row r="850" spans="2:9" x14ac:dyDescent="0.2">
      <c r="B850" s="57">
        <v>44005</v>
      </c>
      <c r="C850" s="9">
        <v>43969</v>
      </c>
      <c r="D850" s="10" t="s">
        <v>279</v>
      </c>
      <c r="E850" s="10" t="s">
        <v>813</v>
      </c>
      <c r="F850" s="11" t="s">
        <v>827</v>
      </c>
      <c r="G850" s="18">
        <v>255200</v>
      </c>
      <c r="H850" s="18" t="s">
        <v>5</v>
      </c>
      <c r="I850" s="19" t="e">
        <f>IF(Paid[[#This Row],[Currency]]="USD",Paid[[#This Row],[Montant]],Paid[[#This Row],[Montant]]/VLOOKUP(Paid[[#This Row],[Date Paid]],TableCurrencyRate[#All],2,FALSE))</f>
        <v>#N/A</v>
      </c>
    </row>
    <row r="851" spans="2:9" x14ac:dyDescent="0.2">
      <c r="B851" s="12">
        <v>44005</v>
      </c>
      <c r="C851" s="9">
        <v>43969</v>
      </c>
      <c r="D851" s="10" t="s">
        <v>279</v>
      </c>
      <c r="E851" s="10" t="s">
        <v>813</v>
      </c>
      <c r="F851" s="11" t="s">
        <v>827</v>
      </c>
      <c r="G851" s="18">
        <v>49500</v>
      </c>
      <c r="H851" s="18" t="s">
        <v>5</v>
      </c>
      <c r="I851" s="19" t="e">
        <f>IF(Paid[[#This Row],[Currency]]="USD",Paid[[#This Row],[Montant]],Paid[[#This Row],[Montant]]/VLOOKUP(Paid[[#This Row],[Date Paid]],TableCurrencyRate[#All],2,FALSE))</f>
        <v>#N/A</v>
      </c>
    </row>
    <row r="852" spans="2:9" x14ac:dyDescent="0.2">
      <c r="B852" s="57">
        <v>44005</v>
      </c>
      <c r="C852" s="9">
        <v>43975</v>
      </c>
      <c r="D852" s="10" t="s">
        <v>279</v>
      </c>
      <c r="E852" s="10" t="s">
        <v>813</v>
      </c>
      <c r="F852" s="11" t="s">
        <v>827</v>
      </c>
      <c r="G852" s="18">
        <v>99000</v>
      </c>
      <c r="H852" s="18" t="s">
        <v>5</v>
      </c>
      <c r="I852" s="19" t="e">
        <f>IF(Paid[[#This Row],[Currency]]="USD",Paid[[#This Row],[Montant]],Paid[[#This Row],[Montant]]/VLOOKUP(Paid[[#This Row],[Date Paid]],TableCurrencyRate[#All],2,FALSE))</f>
        <v>#N/A</v>
      </c>
    </row>
    <row r="853" spans="2:9" x14ac:dyDescent="0.2">
      <c r="B853" s="12">
        <v>44005</v>
      </c>
      <c r="C853" s="9">
        <v>44002</v>
      </c>
      <c r="D853" s="10"/>
      <c r="E853" s="10"/>
      <c r="F853" s="11" t="s">
        <v>900</v>
      </c>
      <c r="G853" s="18">
        <v>112400</v>
      </c>
      <c r="H853" s="18" t="s">
        <v>5</v>
      </c>
      <c r="I853" s="19" t="e">
        <f>IF(Paid[[#This Row],[Currency]]="USD",Paid[[#This Row],[Montant]],Paid[[#This Row],[Montant]]/VLOOKUP(Paid[[#This Row],[Date Paid]],TableCurrencyRate[#All],2,FALSE))</f>
        <v>#N/A</v>
      </c>
    </row>
    <row r="854" spans="2:9" x14ac:dyDescent="0.2">
      <c r="B854" s="57">
        <v>44005</v>
      </c>
      <c r="C854" s="9">
        <v>43967</v>
      </c>
      <c r="D854" s="10"/>
      <c r="E854" s="10"/>
      <c r="F854" s="11" t="s">
        <v>901</v>
      </c>
      <c r="G854" s="18">
        <v>250000</v>
      </c>
      <c r="H854" s="18" t="s">
        <v>5</v>
      </c>
      <c r="I854" s="19" t="e">
        <f>IF(Paid[[#This Row],[Currency]]="USD",Paid[[#This Row],[Montant]],Paid[[#This Row],[Montant]]/VLOOKUP(Paid[[#This Row],[Date Paid]],TableCurrencyRate[#All],2,FALSE))</f>
        <v>#N/A</v>
      </c>
    </row>
    <row r="855" spans="2:9" x14ac:dyDescent="0.2">
      <c r="B855" s="12">
        <v>44005</v>
      </c>
      <c r="C855" s="9">
        <v>43986</v>
      </c>
      <c r="D855" s="10"/>
      <c r="E855" s="10" t="s">
        <v>650</v>
      </c>
      <c r="F855" s="11" t="s">
        <v>862</v>
      </c>
      <c r="G855" s="18">
        <f>40000+5000</f>
        <v>45000</v>
      </c>
      <c r="H855" s="18" t="s">
        <v>5</v>
      </c>
      <c r="I855" s="19" t="e">
        <f>IF(Paid[[#This Row],[Currency]]="USD",Paid[[#This Row],[Montant]],Paid[[#This Row],[Montant]]/VLOOKUP(Paid[[#This Row],[Date Paid]],TableCurrencyRate[#All],2,FALSE))</f>
        <v>#N/A</v>
      </c>
    </row>
    <row r="856" spans="2:9" x14ac:dyDescent="0.2">
      <c r="B856" s="57">
        <v>44005</v>
      </c>
      <c r="C856" s="9">
        <v>44002</v>
      </c>
      <c r="D856" s="10"/>
      <c r="E856" s="10"/>
      <c r="F856" s="11" t="s">
        <v>903</v>
      </c>
      <c r="G856" s="18">
        <f>27600-5100</f>
        <v>22500</v>
      </c>
      <c r="H856" s="18" t="s">
        <v>5</v>
      </c>
      <c r="I856" s="19" t="e">
        <f>IF(Paid[[#This Row],[Currency]]="USD",Paid[[#This Row],[Montant]],Paid[[#This Row],[Montant]]/VLOOKUP(Paid[[#This Row],[Date Paid]],TableCurrencyRate[#All],2,FALSE))</f>
        <v>#N/A</v>
      </c>
    </row>
    <row r="857" spans="2:9" x14ac:dyDescent="0.2">
      <c r="B857" s="12">
        <v>44005</v>
      </c>
      <c r="C857" s="9">
        <v>43986</v>
      </c>
      <c r="D857" s="10"/>
      <c r="E857" s="10"/>
      <c r="F857" s="11" t="s">
        <v>902</v>
      </c>
      <c r="G857" s="18">
        <v>105000</v>
      </c>
      <c r="H857" s="18" t="s">
        <v>5</v>
      </c>
      <c r="I857" s="19" t="e">
        <f>IF(Paid[[#This Row],[Currency]]="USD",Paid[[#This Row],[Montant]],Paid[[#This Row],[Montant]]/VLOOKUP(Paid[[#This Row],[Date Paid]],TableCurrencyRate[#All],2,FALSE))</f>
        <v>#N/A</v>
      </c>
    </row>
    <row r="858" spans="2:9" x14ac:dyDescent="0.2">
      <c r="B858" s="57">
        <v>44005</v>
      </c>
      <c r="C858" s="9">
        <v>44002</v>
      </c>
      <c r="D858" s="10"/>
      <c r="E858" s="10"/>
      <c r="F858" s="11" t="s">
        <v>904</v>
      </c>
      <c r="G858" s="18">
        <f>40400-950</f>
        <v>39450</v>
      </c>
      <c r="H858" s="18" t="s">
        <v>5</v>
      </c>
      <c r="I858" s="19" t="e">
        <f>IF(Paid[[#This Row],[Currency]]="USD",Paid[[#This Row],[Montant]],Paid[[#This Row],[Montant]]/VLOOKUP(Paid[[#This Row],[Date Paid]],TableCurrencyRate[#All],2,FALSE))</f>
        <v>#N/A</v>
      </c>
    </row>
    <row r="859" spans="2:9" x14ac:dyDescent="0.2">
      <c r="B859" s="12">
        <v>44005</v>
      </c>
      <c r="C859" s="9">
        <v>43995</v>
      </c>
      <c r="D859" s="10"/>
      <c r="E859" s="10"/>
      <c r="F859" s="11" t="s">
        <v>840</v>
      </c>
      <c r="G859" s="18">
        <f>425000+4600</f>
        <v>429600</v>
      </c>
      <c r="H859" s="18" t="s">
        <v>5</v>
      </c>
      <c r="I859" s="19" t="e">
        <f>IF(Paid[[#This Row],[Currency]]="USD",Paid[[#This Row],[Montant]],Paid[[#This Row],[Montant]]/VLOOKUP(Paid[[#This Row],[Date Paid]],TableCurrencyRate[#All],2,FALSE))</f>
        <v>#N/A</v>
      </c>
    </row>
    <row r="860" spans="2:9" x14ac:dyDescent="0.2">
      <c r="B860" s="57">
        <v>44005</v>
      </c>
      <c r="C860" s="9">
        <v>43988</v>
      </c>
      <c r="D860" s="10"/>
      <c r="E860" s="10"/>
      <c r="F860" s="11" t="s">
        <v>861</v>
      </c>
      <c r="G860" s="18">
        <f>425000-37400</f>
        <v>387600</v>
      </c>
      <c r="H860" s="18" t="s">
        <v>5</v>
      </c>
      <c r="I860" s="19" t="e">
        <f>IF(Paid[[#This Row],[Currency]]="USD",Paid[[#This Row],[Montant]],Paid[[#This Row],[Montant]]/VLOOKUP(Paid[[#This Row],[Date Paid]],TableCurrencyRate[#All],2,FALSE))</f>
        <v>#N/A</v>
      </c>
    </row>
    <row r="861" spans="2:9" x14ac:dyDescent="0.2">
      <c r="B861" s="12">
        <v>44007</v>
      </c>
      <c r="C861" s="9">
        <v>44007</v>
      </c>
      <c r="D861" s="10"/>
      <c r="E861" s="10"/>
      <c r="F861" s="11" t="s">
        <v>905</v>
      </c>
      <c r="G861" s="18">
        <v>140625</v>
      </c>
      <c r="H861" s="18" t="s">
        <v>5</v>
      </c>
      <c r="I861" s="19" t="e">
        <f>IF(Paid[[#This Row],[Currency]]="USD",Paid[[#This Row],[Montant]],Paid[[#This Row],[Montant]]/VLOOKUP(Paid[[#This Row],[Date Paid]],TableCurrencyRate[#All],2,FALSE))</f>
        <v>#N/A</v>
      </c>
    </row>
    <row r="862" spans="2:9" x14ac:dyDescent="0.2">
      <c r="B862" s="12">
        <v>44007</v>
      </c>
      <c r="C862" s="13">
        <v>44007</v>
      </c>
      <c r="D862" s="14"/>
      <c r="E862" s="14"/>
      <c r="F862" s="15" t="s">
        <v>859</v>
      </c>
      <c r="G862" s="21">
        <v>1000000</v>
      </c>
      <c r="H862" s="16" t="s">
        <v>5</v>
      </c>
      <c r="I862" s="19" t="e">
        <f>IF(Paid[[#This Row],[Currency]]="USD",Paid[[#This Row],[Montant]],Paid[[#This Row],[Montant]]/VLOOKUP(Paid[[#This Row],[Date Paid]],TableCurrencyRate[#All],2,FALSE))</f>
        <v>#N/A</v>
      </c>
    </row>
    <row r="863" spans="2:9" x14ac:dyDescent="0.2">
      <c r="B863" s="12">
        <v>44012</v>
      </c>
      <c r="C863" s="9">
        <v>44012</v>
      </c>
      <c r="D863" s="10"/>
      <c r="E863" s="10"/>
      <c r="F863" s="11" t="s">
        <v>906</v>
      </c>
      <c r="G863" s="18">
        <f>159000-850</f>
        <v>158150</v>
      </c>
      <c r="H863" s="18" t="s">
        <v>5</v>
      </c>
      <c r="I863" s="19" t="e">
        <f>IF(Paid[[#This Row],[Currency]]="USD",Paid[[#This Row],[Montant]],Paid[[#This Row],[Montant]]/VLOOKUP(Paid[[#This Row],[Date Paid]],TableCurrencyRate[#All],2,FALSE))</f>
        <v>#N/A</v>
      </c>
    </row>
    <row r="864" spans="2:9" x14ac:dyDescent="0.2">
      <c r="B864" s="12">
        <v>44012</v>
      </c>
      <c r="C864" s="9">
        <v>44012</v>
      </c>
      <c r="D864" s="10" t="s">
        <v>786</v>
      </c>
      <c r="E864" s="10" t="s">
        <v>887</v>
      </c>
      <c r="F864" s="11" t="s">
        <v>941</v>
      </c>
      <c r="G864" s="18">
        <v>15160600</v>
      </c>
      <c r="H864" s="18" t="s">
        <v>5</v>
      </c>
      <c r="I864" s="19" t="e">
        <f>IF(Paid[[#This Row],[Currency]]="USD",Paid[[#This Row],[Montant]],Paid[[#This Row],[Montant]]/VLOOKUP(Paid[[#This Row],[Date Paid]],TableCurrencyRate[#All],2,FALSE))</f>
        <v>#N/A</v>
      </c>
    </row>
    <row r="865" spans="2:9" x14ac:dyDescent="0.2">
      <c r="B865" s="12">
        <v>44018</v>
      </c>
      <c r="C865" s="9">
        <v>44018</v>
      </c>
      <c r="D865" s="10"/>
      <c r="E865" s="10"/>
      <c r="F865" s="11" t="s">
        <v>942</v>
      </c>
      <c r="G865" s="18">
        <v>11029004</v>
      </c>
      <c r="H865" s="18" t="s">
        <v>5</v>
      </c>
      <c r="I865" s="19" t="e">
        <f>IF(Paid[[#This Row],[Currency]]="USD",Paid[[#This Row],[Montant]],Paid[[#This Row],[Montant]]/VLOOKUP(Paid[[#This Row],[Date Paid]],TableCurrencyRate[#All],2,FALSE))</f>
        <v>#N/A</v>
      </c>
    </row>
    <row r="866" spans="2:9" x14ac:dyDescent="0.2">
      <c r="B866" s="12">
        <v>44020</v>
      </c>
      <c r="C866" s="13">
        <v>44004</v>
      </c>
      <c r="D866" s="14"/>
      <c r="E866" s="14"/>
      <c r="F866" s="15" t="s">
        <v>927</v>
      </c>
      <c r="G866" s="21">
        <v>30500</v>
      </c>
      <c r="H866" s="16" t="s">
        <v>5</v>
      </c>
      <c r="I866" s="19" t="e">
        <f>IF(Paid[[#This Row],[Currency]]="USD",Paid[[#This Row],[Montant]],Paid[[#This Row],[Montant]]/VLOOKUP(Paid[[#This Row],[Date Paid]],TableCurrencyRate[#All],2,FALSE))</f>
        <v>#N/A</v>
      </c>
    </row>
    <row r="867" spans="2:9" x14ac:dyDescent="0.2">
      <c r="B867" s="12">
        <v>44020</v>
      </c>
      <c r="C867" s="9">
        <v>44007</v>
      </c>
      <c r="D867" s="10"/>
      <c r="E867" s="10"/>
      <c r="F867" s="11" t="s">
        <v>926</v>
      </c>
      <c r="G867" s="18">
        <v>4350</v>
      </c>
      <c r="H867" s="18" t="s">
        <v>5</v>
      </c>
      <c r="I867" s="19" t="e">
        <f>IF(Paid[[#This Row],[Currency]]="USD",Paid[[#This Row],[Montant]],Paid[[#This Row],[Montant]]/VLOOKUP(Paid[[#This Row],[Date Paid]],TableCurrencyRate[#All],2,FALSE))</f>
        <v>#N/A</v>
      </c>
    </row>
    <row r="868" spans="2:9" x14ac:dyDescent="0.2">
      <c r="B868" s="12">
        <v>44020</v>
      </c>
      <c r="C868" s="9">
        <v>44013</v>
      </c>
      <c r="D868" s="10"/>
      <c r="E868" s="10"/>
      <c r="F868" s="11" t="s">
        <v>925</v>
      </c>
      <c r="G868" s="18">
        <v>18500</v>
      </c>
      <c r="H868" s="18" t="s">
        <v>5</v>
      </c>
      <c r="I868" s="19" t="e">
        <f>IF(Paid[[#This Row],[Currency]]="USD",Paid[[#This Row],[Montant]],Paid[[#This Row],[Montant]]/VLOOKUP(Paid[[#This Row],[Date Paid]],TableCurrencyRate[#All],2,FALSE))</f>
        <v>#N/A</v>
      </c>
    </row>
    <row r="869" spans="2:9" x14ac:dyDescent="0.2">
      <c r="B869" s="12">
        <v>44020</v>
      </c>
      <c r="C869" s="9">
        <v>44013</v>
      </c>
      <c r="D869" s="10"/>
      <c r="E869" s="10"/>
      <c r="F869" s="11" t="s">
        <v>26</v>
      </c>
      <c r="G869" s="18">
        <v>10500</v>
      </c>
      <c r="H869" s="18" t="s">
        <v>5</v>
      </c>
      <c r="I869" s="19" t="e">
        <f>IF(Paid[[#This Row],[Currency]]="USD",Paid[[#This Row],[Montant]],Paid[[#This Row],[Montant]]/VLOOKUP(Paid[[#This Row],[Date Paid]],TableCurrencyRate[#All],2,FALSE))</f>
        <v>#N/A</v>
      </c>
    </row>
    <row r="870" spans="2:9" x14ac:dyDescent="0.2">
      <c r="B870" s="12">
        <v>44020</v>
      </c>
      <c r="C870" s="9">
        <v>43988</v>
      </c>
      <c r="D870" s="10"/>
      <c r="E870" s="10"/>
      <c r="F870" s="11" t="s">
        <v>921</v>
      </c>
      <c r="G870" s="18">
        <v>21650</v>
      </c>
      <c r="H870" s="18" t="s">
        <v>5</v>
      </c>
      <c r="I870" s="19" t="e">
        <f>IF(Paid[[#This Row],[Currency]]="USD",Paid[[#This Row],[Montant]],Paid[[#This Row],[Montant]]/VLOOKUP(Paid[[#This Row],[Date Paid]],TableCurrencyRate[#All],2,FALSE))</f>
        <v>#N/A</v>
      </c>
    </row>
    <row r="871" spans="2:9" x14ac:dyDescent="0.2">
      <c r="B871" s="12">
        <v>44020</v>
      </c>
      <c r="C871" s="13">
        <v>44020</v>
      </c>
      <c r="D871" s="14"/>
      <c r="E871" s="14"/>
      <c r="F871" s="15" t="s">
        <v>928</v>
      </c>
      <c r="G871" s="21">
        <f>162000-14050</f>
        <v>147950</v>
      </c>
      <c r="H871" s="16" t="s">
        <v>5</v>
      </c>
      <c r="I871" s="19" t="e">
        <f>IF(Paid[[#This Row],[Currency]]="USD",Paid[[#This Row],[Montant]],Paid[[#This Row],[Montant]]/VLOOKUP(Paid[[#This Row],[Date Paid]],TableCurrencyRate[#All],2,FALSE))</f>
        <v>#N/A</v>
      </c>
    </row>
    <row r="872" spans="2:9" x14ac:dyDescent="0.2">
      <c r="B872" s="12">
        <v>44021</v>
      </c>
      <c r="C872" s="9">
        <v>43991</v>
      </c>
      <c r="D872" s="10"/>
      <c r="E872" s="10"/>
      <c r="F872" s="11" t="s">
        <v>943</v>
      </c>
      <c r="G872" s="18">
        <v>1666217</v>
      </c>
      <c r="H872" s="18" t="s">
        <v>5</v>
      </c>
      <c r="I872" s="19" t="e">
        <f>IF(Paid[[#This Row],[Currency]]="USD",Paid[[#This Row],[Montant]],Paid[[#This Row],[Montant]]/VLOOKUP(Paid[[#This Row],[Date Paid]],TableCurrencyRate[#All],2,FALSE))</f>
        <v>#N/A</v>
      </c>
    </row>
    <row r="873" spans="2:9" x14ac:dyDescent="0.2">
      <c r="B873" s="12">
        <v>44025</v>
      </c>
      <c r="C873" s="13">
        <v>43993</v>
      </c>
      <c r="D873" s="14"/>
      <c r="E873" s="14" t="s">
        <v>836</v>
      </c>
      <c r="F873" s="15" t="s">
        <v>844</v>
      </c>
      <c r="G873" s="21">
        <v>127400</v>
      </c>
      <c r="H873" s="16" t="s">
        <v>5</v>
      </c>
      <c r="I873" s="19" t="e">
        <f>IF(Paid[[#This Row],[Currency]]="USD",Paid[[#This Row],[Montant]],Paid[[#This Row],[Montant]]/VLOOKUP(Paid[[#This Row],[Date Paid]],TableCurrencyRate[#All],2,FALSE))</f>
        <v>#N/A</v>
      </c>
    </row>
    <row r="874" spans="2:9" x14ac:dyDescent="0.2">
      <c r="B874" s="12">
        <v>44025</v>
      </c>
      <c r="C874" s="13">
        <v>44063</v>
      </c>
      <c r="D874" s="14"/>
      <c r="E874" s="14"/>
      <c r="F874" s="15" t="s">
        <v>907</v>
      </c>
      <c r="G874" s="21">
        <f>425000-38200</f>
        <v>386800</v>
      </c>
      <c r="H874" s="16" t="s">
        <v>5</v>
      </c>
      <c r="I874" s="19" t="e">
        <f>IF(Paid[[#This Row],[Currency]]="USD",Paid[[#This Row],[Montant]],Paid[[#This Row],[Montant]]/VLOOKUP(Paid[[#This Row],[Date Paid]],TableCurrencyRate[#All],2,FALSE))</f>
        <v>#N/A</v>
      </c>
    </row>
    <row r="875" spans="2:9" x14ac:dyDescent="0.2">
      <c r="B875" s="12">
        <v>44025</v>
      </c>
      <c r="C875" s="13">
        <v>44002</v>
      </c>
      <c r="D875" s="14"/>
      <c r="E875" s="14" t="s">
        <v>836</v>
      </c>
      <c r="F875" s="15" t="s">
        <v>910</v>
      </c>
      <c r="G875" s="21">
        <f>27500-14200</f>
        <v>13300</v>
      </c>
      <c r="H875" s="16" t="s">
        <v>5</v>
      </c>
      <c r="I875" s="19" t="e">
        <f>IF(Paid[[#This Row],[Currency]]="USD",Paid[[#This Row],[Montant]],Paid[[#This Row],[Montant]]/VLOOKUP(Paid[[#This Row],[Date Paid]],TableCurrencyRate[#All],2,FALSE))</f>
        <v>#N/A</v>
      </c>
    </row>
    <row r="876" spans="2:9" x14ac:dyDescent="0.2">
      <c r="B876" s="12">
        <v>44025</v>
      </c>
      <c r="C876" s="13">
        <v>44012</v>
      </c>
      <c r="D876" s="14"/>
      <c r="E876" s="14" t="s">
        <v>650</v>
      </c>
      <c r="F876" s="15" t="s">
        <v>914</v>
      </c>
      <c r="G876" s="21">
        <f>12800-1300</f>
        <v>11500</v>
      </c>
      <c r="H876" s="16" t="s">
        <v>5</v>
      </c>
      <c r="I876" s="19" t="e">
        <f>IF(Paid[[#This Row],[Currency]]="USD",Paid[[#This Row],[Montant]],Paid[[#This Row],[Montant]]/VLOOKUP(Paid[[#This Row],[Date Paid]],TableCurrencyRate[#All],2,FALSE))</f>
        <v>#N/A</v>
      </c>
    </row>
    <row r="877" spans="2:9" x14ac:dyDescent="0.2">
      <c r="B877" s="12">
        <v>44025</v>
      </c>
      <c r="C877" s="9">
        <v>44012</v>
      </c>
      <c r="D877" s="10"/>
      <c r="E877" s="10"/>
      <c r="F877" s="11" t="s">
        <v>909</v>
      </c>
      <c r="G877" s="18">
        <f>42000-2850</f>
        <v>39150</v>
      </c>
      <c r="H877" s="18" t="s">
        <v>5</v>
      </c>
      <c r="I877" s="19" t="e">
        <f>IF(Paid[[#This Row],[Currency]]="USD",Paid[[#This Row],[Montant]],Paid[[#This Row],[Montant]]/VLOOKUP(Paid[[#This Row],[Date Paid]],TableCurrencyRate[#All],2,FALSE))</f>
        <v>#N/A</v>
      </c>
    </row>
    <row r="878" spans="2:9" x14ac:dyDescent="0.2">
      <c r="B878" s="12">
        <v>44025</v>
      </c>
      <c r="C878" s="9">
        <v>44012</v>
      </c>
      <c r="D878" s="10" t="s">
        <v>908</v>
      </c>
      <c r="E878" s="10" t="s">
        <v>813</v>
      </c>
      <c r="F878" s="11" t="s">
        <v>906</v>
      </c>
      <c r="G878" s="18">
        <f>71000-37000</f>
        <v>34000</v>
      </c>
      <c r="H878" s="18" t="s">
        <v>5</v>
      </c>
      <c r="I878" s="19" t="e">
        <f>IF(Paid[[#This Row],[Currency]]="USD",Paid[[#This Row],[Montant]],Paid[[#This Row],[Montant]]/VLOOKUP(Paid[[#This Row],[Date Paid]],TableCurrencyRate[#All],2,FALSE))</f>
        <v>#N/A</v>
      </c>
    </row>
    <row r="879" spans="2:9" x14ac:dyDescent="0.2">
      <c r="B879" s="12">
        <v>44025</v>
      </c>
      <c r="C879" s="9">
        <v>44025</v>
      </c>
      <c r="D879" s="10" t="s">
        <v>908</v>
      </c>
      <c r="E879" s="10" t="s">
        <v>873</v>
      </c>
      <c r="F879" s="11" t="s">
        <v>906</v>
      </c>
      <c r="G879" s="18">
        <f>53000+25800</f>
        <v>78800</v>
      </c>
      <c r="H879" s="18" t="s">
        <v>5</v>
      </c>
      <c r="I879" s="19" t="e">
        <f>IF(Paid[[#This Row],[Currency]]="USD",Paid[[#This Row],[Montant]],Paid[[#This Row],[Montant]]/VLOOKUP(Paid[[#This Row],[Date Paid]],TableCurrencyRate[#All],2,FALSE))</f>
        <v>#N/A</v>
      </c>
    </row>
    <row r="880" spans="2:9" x14ac:dyDescent="0.2">
      <c r="B880" s="12">
        <v>44026</v>
      </c>
      <c r="C880" s="13">
        <v>44015</v>
      </c>
      <c r="D880" s="14"/>
      <c r="E880" s="14"/>
      <c r="F880" s="15" t="s">
        <v>917</v>
      </c>
      <c r="G880" s="21">
        <f>425000-56200</f>
        <v>368800</v>
      </c>
      <c r="H880" s="16" t="s">
        <v>5</v>
      </c>
      <c r="I880" s="19" t="e">
        <f>IF(Paid[[#This Row],[Currency]]="USD",Paid[[#This Row],[Montant]],Paid[[#This Row],[Montant]]/VLOOKUP(Paid[[#This Row],[Date Paid]],TableCurrencyRate[#All],2,FALSE))</f>
        <v>#N/A</v>
      </c>
    </row>
    <row r="881" spans="2:9" x14ac:dyDescent="0.2">
      <c r="B881" s="12">
        <v>44026</v>
      </c>
      <c r="C881" s="13">
        <v>44021</v>
      </c>
      <c r="D881" s="14"/>
      <c r="E881" s="14"/>
      <c r="F881" s="15" t="s">
        <v>944</v>
      </c>
      <c r="G881" s="21">
        <v>250000</v>
      </c>
      <c r="H881" s="16" t="s">
        <v>5</v>
      </c>
      <c r="I881" s="19" t="e">
        <f>IF(Paid[[#This Row],[Currency]]="USD",Paid[[#This Row],[Montant]],Paid[[#This Row],[Montant]]/VLOOKUP(Paid[[#This Row],[Date Paid]],TableCurrencyRate[#All],2,FALSE))</f>
        <v>#N/A</v>
      </c>
    </row>
    <row r="882" spans="2:9" x14ac:dyDescent="0.2">
      <c r="B882" s="12">
        <v>44029</v>
      </c>
      <c r="C882" s="9">
        <v>44029</v>
      </c>
      <c r="D882" s="10" t="s">
        <v>908</v>
      </c>
      <c r="E882" s="10" t="s">
        <v>737</v>
      </c>
      <c r="F882" s="11" t="s">
        <v>945</v>
      </c>
      <c r="G882" s="18">
        <f>327600-75600</f>
        <v>252000</v>
      </c>
      <c r="H882" s="18" t="s">
        <v>5</v>
      </c>
      <c r="I882" s="19" t="e">
        <f>IF(Paid[[#This Row],[Currency]]="USD",Paid[[#This Row],[Montant]],Paid[[#This Row],[Montant]]/VLOOKUP(Paid[[#This Row],[Date Paid]],TableCurrencyRate[#All],2,FALSE))</f>
        <v>#N/A</v>
      </c>
    </row>
    <row r="883" spans="2:9" x14ac:dyDescent="0.2">
      <c r="B883" s="12">
        <v>44029</v>
      </c>
      <c r="C883" s="9">
        <v>44029</v>
      </c>
      <c r="D883" s="10" t="s">
        <v>946</v>
      </c>
      <c r="E883" s="10" t="s">
        <v>947</v>
      </c>
      <c r="F883" s="11" t="s">
        <v>948</v>
      </c>
      <c r="G883" s="18">
        <f>115600-12400</f>
        <v>103200</v>
      </c>
      <c r="H883" s="18" t="s">
        <v>5</v>
      </c>
      <c r="I883" s="19" t="e">
        <f>IF(Paid[[#This Row],[Currency]]="USD",Paid[[#This Row],[Montant]],Paid[[#This Row],[Montant]]/VLOOKUP(Paid[[#This Row],[Date Paid]],TableCurrencyRate[#All],2,FALSE))</f>
        <v>#N/A</v>
      </c>
    </row>
    <row r="884" spans="2:9" x14ac:dyDescent="0.2">
      <c r="B884" s="12">
        <v>44029</v>
      </c>
      <c r="C884" s="13">
        <v>44013</v>
      </c>
      <c r="D884" s="14"/>
      <c r="E884" s="14"/>
      <c r="F884" s="15" t="s">
        <v>949</v>
      </c>
      <c r="G884" s="21">
        <v>600000</v>
      </c>
      <c r="H884" s="16" t="s">
        <v>5</v>
      </c>
      <c r="I884" s="19" t="e">
        <f>IF(Paid[[#This Row],[Currency]]="USD",Paid[[#This Row],[Montant]],Paid[[#This Row],[Montant]]/VLOOKUP(Paid[[#This Row],[Date Paid]],TableCurrencyRate[#All],2,FALSE))</f>
        <v>#N/A</v>
      </c>
    </row>
    <row r="885" spans="2:9" x14ac:dyDescent="0.2">
      <c r="B885" s="12">
        <v>44033</v>
      </c>
      <c r="C885" s="9">
        <v>44033</v>
      </c>
      <c r="D885" s="10"/>
      <c r="E885" s="10" t="s">
        <v>887</v>
      </c>
      <c r="F885" s="11" t="s">
        <v>950</v>
      </c>
      <c r="G885" s="18">
        <v>1263</v>
      </c>
      <c r="H885" s="18" t="s">
        <v>6</v>
      </c>
      <c r="I885" s="19">
        <f>IF(Paid[[#This Row],[Currency]]="USD",Paid[[#This Row],[Montant]],Paid[[#This Row],[Montant]]/VLOOKUP(Paid[[#This Row],[Date Paid]],TableCurrencyRate[#All],2,FALSE))</f>
        <v>1263</v>
      </c>
    </row>
    <row r="886" spans="2:9" x14ac:dyDescent="0.2">
      <c r="B886" s="12">
        <v>44033</v>
      </c>
      <c r="C886" s="13">
        <v>44013</v>
      </c>
      <c r="D886" s="14"/>
      <c r="E886" s="14"/>
      <c r="F886" s="15" t="s">
        <v>922</v>
      </c>
      <c r="G886" s="21">
        <v>500000</v>
      </c>
      <c r="H886" s="16" t="s">
        <v>5</v>
      </c>
      <c r="I886" s="19" t="e">
        <f>IF(Paid[[#This Row],[Currency]]="USD",Paid[[#This Row],[Montant]],Paid[[#This Row],[Montant]]/VLOOKUP(Paid[[#This Row],[Date Paid]],TableCurrencyRate[#All],2,FALSE))</f>
        <v>#N/A</v>
      </c>
    </row>
    <row r="887" spans="2:9" x14ac:dyDescent="0.2">
      <c r="B887" s="12">
        <v>44033</v>
      </c>
      <c r="C887" s="9">
        <v>44013</v>
      </c>
      <c r="D887" s="10"/>
      <c r="E887" s="10"/>
      <c r="F887" s="11" t="s">
        <v>923</v>
      </c>
      <c r="G887" s="18">
        <v>600000</v>
      </c>
      <c r="H887" s="18" t="s">
        <v>5</v>
      </c>
      <c r="I887" s="19" t="e">
        <f>IF(Paid[[#This Row],[Currency]]="USD",Paid[[#This Row],[Montant]],Paid[[#This Row],[Montant]]/VLOOKUP(Paid[[#This Row],[Date Paid]],TableCurrencyRate[#All],2,FALSE))</f>
        <v>#N/A</v>
      </c>
    </row>
    <row r="888" spans="2:9" x14ac:dyDescent="0.2">
      <c r="B888" s="12">
        <v>44033</v>
      </c>
      <c r="C888" s="9">
        <v>44033</v>
      </c>
      <c r="D888" s="10"/>
      <c r="E888" s="10"/>
      <c r="F888" s="11" t="s">
        <v>951</v>
      </c>
      <c r="G888" s="18">
        <v>112400</v>
      </c>
      <c r="H888" s="18" t="s">
        <v>5</v>
      </c>
      <c r="I888" s="19" t="e">
        <f>IF(Paid[[#This Row],[Currency]]="USD",Paid[[#This Row],[Montant]],Paid[[#This Row],[Montant]]/VLOOKUP(Paid[[#This Row],[Date Paid]],TableCurrencyRate[#All],2,FALSE))</f>
        <v>#N/A</v>
      </c>
    </row>
    <row r="889" spans="2:9" x14ac:dyDescent="0.2">
      <c r="B889" s="12">
        <v>44033</v>
      </c>
      <c r="C889" s="9">
        <v>44033</v>
      </c>
      <c r="D889" s="10"/>
      <c r="E889" s="10" t="s">
        <v>911</v>
      </c>
      <c r="F889" s="11" t="s">
        <v>912</v>
      </c>
      <c r="G889" s="18">
        <f>70000+8000</f>
        <v>78000</v>
      </c>
      <c r="H889" s="18" t="s">
        <v>5</v>
      </c>
      <c r="I889" s="19" t="e">
        <f>IF(Paid[[#This Row],[Currency]]="USD",Paid[[#This Row],[Montant]],Paid[[#This Row],[Montant]]/VLOOKUP(Paid[[#This Row],[Date Paid]],TableCurrencyRate[#All],2,FALSE))</f>
        <v>#N/A</v>
      </c>
    </row>
    <row r="890" spans="2:9" x14ac:dyDescent="0.2">
      <c r="B890" s="12">
        <v>44035</v>
      </c>
      <c r="C890" s="9">
        <v>44035</v>
      </c>
      <c r="D890" s="10"/>
      <c r="E890" s="10"/>
      <c r="F890" s="11" t="s">
        <v>912</v>
      </c>
      <c r="G890" s="18">
        <f>178750-40400</f>
        <v>138350</v>
      </c>
      <c r="H890" s="18" t="s">
        <v>5</v>
      </c>
      <c r="I890" s="19" t="e">
        <f>IF(Paid[[#This Row],[Currency]]="USD",Paid[[#This Row],[Montant]],Paid[[#This Row],[Montant]]/VLOOKUP(Paid[[#This Row],[Date Paid]],TableCurrencyRate[#All],2,FALSE))</f>
        <v>#N/A</v>
      </c>
    </row>
    <row r="891" spans="2:9" x14ac:dyDescent="0.2">
      <c r="B891" s="12">
        <v>44036</v>
      </c>
      <c r="C891" s="13">
        <v>43956</v>
      </c>
      <c r="D891" s="14"/>
      <c r="E891" s="14"/>
      <c r="F891" s="15" t="s">
        <v>816</v>
      </c>
      <c r="G891" s="21">
        <v>295000</v>
      </c>
      <c r="H891" s="16" t="s">
        <v>5</v>
      </c>
      <c r="I891" s="19" t="e">
        <f>IF(Paid[[#This Row],[Currency]]="USD",Paid[[#This Row],[Montant]],Paid[[#This Row],[Montant]]/VLOOKUP(Paid[[#This Row],[Date Paid]],TableCurrencyRate[#All],2,FALSE))</f>
        <v>#N/A</v>
      </c>
    </row>
    <row r="892" spans="2:9" x14ac:dyDescent="0.2">
      <c r="B892" s="12">
        <v>44037</v>
      </c>
      <c r="C892" s="13">
        <v>43991</v>
      </c>
      <c r="D892" s="14"/>
      <c r="E892" s="14"/>
      <c r="F892" s="15" t="s">
        <v>843</v>
      </c>
      <c r="G892" s="21">
        <f>502015-11095</f>
        <v>490920</v>
      </c>
      <c r="H892" s="16" t="s">
        <v>5</v>
      </c>
      <c r="I892" s="19" t="e">
        <f>IF(Paid[[#This Row],[Currency]]="USD",Paid[[#This Row],[Montant]],Paid[[#This Row],[Montant]]/VLOOKUP(Paid[[#This Row],[Date Paid]],TableCurrencyRate[#All],2,FALSE))</f>
        <v>#N/A</v>
      </c>
    </row>
    <row r="893" spans="2:9" x14ac:dyDescent="0.2">
      <c r="B893" s="12">
        <v>44037</v>
      </c>
      <c r="C893" s="13">
        <v>44009</v>
      </c>
      <c r="D893" s="14"/>
      <c r="E893" s="14"/>
      <c r="F893" s="15" t="s">
        <v>916</v>
      </c>
      <c r="G893" s="21">
        <f>425000-66600</f>
        <v>358400</v>
      </c>
      <c r="H893" s="16" t="s">
        <v>5</v>
      </c>
      <c r="I893" s="19" t="e">
        <f>IF(Paid[[#This Row],[Currency]]="USD",Paid[[#This Row],[Montant]],Paid[[#This Row],[Montant]]/VLOOKUP(Paid[[#This Row],[Date Paid]],TableCurrencyRate[#All],2,FALSE))</f>
        <v>#N/A</v>
      </c>
    </row>
    <row r="894" spans="2:9" x14ac:dyDescent="0.2">
      <c r="B894" s="12">
        <v>44037</v>
      </c>
      <c r="C894" s="9">
        <v>44012</v>
      </c>
      <c r="D894" s="10"/>
      <c r="E894" s="10" t="s">
        <v>650</v>
      </c>
      <c r="F894" s="11" t="s">
        <v>913</v>
      </c>
      <c r="G894" s="18">
        <v>180000</v>
      </c>
      <c r="H894" s="18" t="s">
        <v>5</v>
      </c>
      <c r="I894" s="19" t="e">
        <f>IF(Paid[[#This Row],[Currency]]="USD",Paid[[#This Row],[Montant]],Paid[[#This Row],[Montant]]/VLOOKUP(Paid[[#This Row],[Date Paid]],TableCurrencyRate[#All],2,FALSE))</f>
        <v>#N/A</v>
      </c>
    </row>
    <row r="895" spans="2:9" x14ac:dyDescent="0.2">
      <c r="B895" s="12">
        <v>44037</v>
      </c>
      <c r="C895" s="13">
        <v>44013</v>
      </c>
      <c r="D895" s="14"/>
      <c r="E895" s="14"/>
      <c r="F895" s="15" t="s">
        <v>915</v>
      </c>
      <c r="G895" s="21">
        <f>197900-89200</f>
        <v>108700</v>
      </c>
      <c r="H895" s="16" t="s">
        <v>5</v>
      </c>
      <c r="I895" s="19" t="e">
        <f>IF(Paid[[#This Row],[Currency]]="USD",Paid[[#This Row],[Montant]],Paid[[#This Row],[Montant]]/VLOOKUP(Paid[[#This Row],[Date Paid]],TableCurrencyRate[#All],2,FALSE))</f>
        <v>#N/A</v>
      </c>
    </row>
    <row r="896" spans="2:9" x14ac:dyDescent="0.2">
      <c r="B896" s="12">
        <v>44037</v>
      </c>
      <c r="C896" s="9">
        <v>44037</v>
      </c>
      <c r="D896" s="10"/>
      <c r="E896" s="10" t="s">
        <v>947</v>
      </c>
      <c r="F896" s="11" t="s">
        <v>948</v>
      </c>
      <c r="G896" s="18">
        <f>71000-1000</f>
        <v>70000</v>
      </c>
      <c r="H896" s="18" t="s">
        <v>5</v>
      </c>
      <c r="I896" s="19" t="e">
        <f>IF(Paid[[#This Row],[Currency]]="USD",Paid[[#This Row],[Montant]],Paid[[#This Row],[Montant]]/VLOOKUP(Paid[[#This Row],[Date Paid]],TableCurrencyRate[#All],2,FALSE))</f>
        <v>#N/A</v>
      </c>
    </row>
    <row r="897" spans="2:9" x14ac:dyDescent="0.2">
      <c r="B897" s="12">
        <v>44037</v>
      </c>
      <c r="C897" s="9">
        <v>44007</v>
      </c>
      <c r="D897" s="10"/>
      <c r="E897" s="10" t="s">
        <v>813</v>
      </c>
      <c r="F897" s="11" t="s">
        <v>952</v>
      </c>
      <c r="G897" s="18">
        <f>42500-3100</f>
        <v>39400</v>
      </c>
      <c r="H897" s="18" t="s">
        <v>5</v>
      </c>
      <c r="I897" s="19" t="e">
        <f>IF(Paid[[#This Row],[Currency]]="USD",Paid[[#This Row],[Montant]],Paid[[#This Row],[Montant]]/VLOOKUP(Paid[[#This Row],[Date Paid]],TableCurrencyRate[#All],2,FALSE))</f>
        <v>#N/A</v>
      </c>
    </row>
    <row r="898" spans="2:9" x14ac:dyDescent="0.2">
      <c r="B898" s="12">
        <v>44037</v>
      </c>
      <c r="C898" s="13">
        <v>44013</v>
      </c>
      <c r="D898" s="14"/>
      <c r="E898" s="14"/>
      <c r="F898" s="15" t="s">
        <v>924</v>
      </c>
      <c r="G898" s="21">
        <v>692</v>
      </c>
      <c r="H898" s="16" t="s">
        <v>6</v>
      </c>
      <c r="I898" s="19">
        <f>IF(Paid[[#This Row],[Currency]]="USD",Paid[[#This Row],[Montant]],Paid[[#This Row],[Montant]]/VLOOKUP(Paid[[#This Row],[Date Paid]],TableCurrencyRate[#All],2,FALSE))</f>
        <v>692</v>
      </c>
    </row>
    <row r="899" spans="2:9" x14ac:dyDescent="0.2">
      <c r="B899" s="12">
        <v>44051</v>
      </c>
      <c r="C899" s="9">
        <v>44051</v>
      </c>
      <c r="D899" s="10"/>
      <c r="E899" s="10"/>
      <c r="F899" s="11" t="s">
        <v>953</v>
      </c>
      <c r="G899" s="18">
        <f>11620400+1494600+1120000</f>
        <v>14235000</v>
      </c>
      <c r="H899" s="18" t="s">
        <v>5</v>
      </c>
      <c r="I899" s="19" t="e">
        <f>IF(Paid[[#This Row],[Currency]]="USD",Paid[[#This Row],[Montant]],Paid[[#This Row],[Montant]]/VLOOKUP(Paid[[#This Row],[Date Paid]],TableCurrencyRate[#All],2,FALSE))</f>
        <v>#N/A</v>
      </c>
    </row>
    <row r="900" spans="2:9" x14ac:dyDescent="0.2">
      <c r="B900" s="12">
        <v>44051</v>
      </c>
      <c r="C900" s="13">
        <v>44034</v>
      </c>
      <c r="D900" s="14"/>
      <c r="E900" s="14" t="s">
        <v>930</v>
      </c>
      <c r="F900" s="15" t="s">
        <v>935</v>
      </c>
      <c r="G900" s="77">
        <v>14200</v>
      </c>
      <c r="H900" s="16" t="s">
        <v>5</v>
      </c>
      <c r="I900" s="19" t="e">
        <f>IF(Paid[[#This Row],[Currency]]="USD",Paid[[#This Row],[Montant]],Paid[[#This Row],[Montant]]/VLOOKUP(Paid[[#This Row],[Date Paid]],TableCurrencyRate[#All],2,FALSE))</f>
        <v>#N/A</v>
      </c>
    </row>
    <row r="901" spans="2:9" x14ac:dyDescent="0.2">
      <c r="B901" s="12">
        <v>44051</v>
      </c>
      <c r="C901" s="13">
        <v>44036</v>
      </c>
      <c r="D901" s="14"/>
      <c r="E901" s="14"/>
      <c r="F901" s="15" t="s">
        <v>24</v>
      </c>
      <c r="G901" s="78">
        <v>15000</v>
      </c>
      <c r="H901" s="16" t="s">
        <v>5</v>
      </c>
      <c r="I901" s="19" t="e">
        <f>IF(Paid[[#This Row],[Currency]]="USD",Paid[[#This Row],[Montant]],Paid[[#This Row],[Montant]]/VLOOKUP(Paid[[#This Row],[Date Paid]],TableCurrencyRate[#All],2,FALSE))</f>
        <v>#N/A</v>
      </c>
    </row>
    <row r="902" spans="2:9" x14ac:dyDescent="0.2">
      <c r="B902" s="12">
        <v>44051</v>
      </c>
      <c r="C902" s="9">
        <v>44029</v>
      </c>
      <c r="D902" s="10"/>
      <c r="E902" s="10"/>
      <c r="F902" s="11" t="s">
        <v>934</v>
      </c>
      <c r="G902" s="122">
        <v>13400</v>
      </c>
      <c r="H902" s="18" t="s">
        <v>5</v>
      </c>
      <c r="I902" s="19" t="e">
        <f>IF(Paid[[#This Row],[Currency]]="USD",Paid[[#This Row],[Montant]],Paid[[#This Row],[Montant]]/VLOOKUP(Paid[[#This Row],[Date Paid]],TableCurrencyRate[#All],2,FALSE))</f>
        <v>#N/A</v>
      </c>
    </row>
    <row r="903" spans="2:9" x14ac:dyDescent="0.2">
      <c r="B903" s="12">
        <v>44051</v>
      </c>
      <c r="C903" s="9">
        <v>44048</v>
      </c>
      <c r="D903" s="10"/>
      <c r="E903" s="10" t="s">
        <v>813</v>
      </c>
      <c r="F903" s="11" t="s">
        <v>937</v>
      </c>
      <c r="G903" s="122">
        <f>76000-6400</f>
        <v>69600</v>
      </c>
      <c r="H903" s="18" t="s">
        <v>5</v>
      </c>
      <c r="I903" s="19" t="e">
        <f>IF(Paid[[#This Row],[Currency]]="USD",Paid[[#This Row],[Montant]],Paid[[#This Row],[Montant]]/VLOOKUP(Paid[[#This Row],[Date Paid]],TableCurrencyRate[#All],2,FALSE))</f>
        <v>#N/A</v>
      </c>
    </row>
    <row r="904" spans="2:9" x14ac:dyDescent="0.2">
      <c r="B904" s="12">
        <v>44051</v>
      </c>
      <c r="C904" s="9">
        <v>44049</v>
      </c>
      <c r="D904" s="10"/>
      <c r="E904" s="10"/>
      <c r="F904" s="11" t="s">
        <v>933</v>
      </c>
      <c r="G904" s="122">
        <f>46000-11000</f>
        <v>35000</v>
      </c>
      <c r="H904" s="18" t="s">
        <v>5</v>
      </c>
      <c r="I904" s="19" t="e">
        <f>IF(Paid[[#This Row],[Currency]]="USD",Paid[[#This Row],[Montant]],Paid[[#This Row],[Montant]]/VLOOKUP(Paid[[#This Row],[Date Paid]],TableCurrencyRate[#All],2,FALSE))</f>
        <v>#N/A</v>
      </c>
    </row>
    <row r="905" spans="2:9" x14ac:dyDescent="0.2">
      <c r="B905" s="12">
        <v>44051</v>
      </c>
      <c r="C905" s="9">
        <v>44049</v>
      </c>
      <c r="D905" s="10"/>
      <c r="E905" s="10" t="s">
        <v>650</v>
      </c>
      <c r="F905" s="11" t="s">
        <v>932</v>
      </c>
      <c r="G905" s="122">
        <v>180000</v>
      </c>
      <c r="H905" s="18" t="s">
        <v>5</v>
      </c>
      <c r="I905" s="19" t="e">
        <f>IF(Paid[[#This Row],[Currency]]="USD",Paid[[#This Row],[Montant]],Paid[[#This Row],[Montant]]/VLOOKUP(Paid[[#This Row],[Date Paid]],TableCurrencyRate[#All],2,FALSE))</f>
        <v>#N/A</v>
      </c>
    </row>
    <row r="906" spans="2:9" x14ac:dyDescent="0.2">
      <c r="B906" s="12">
        <v>44051</v>
      </c>
      <c r="C906" s="9">
        <v>44049</v>
      </c>
      <c r="D906" s="10"/>
      <c r="E906" s="10" t="s">
        <v>911</v>
      </c>
      <c r="F906" s="11" t="s">
        <v>940</v>
      </c>
      <c r="G906" s="122">
        <f>93600-17200</f>
        <v>76400</v>
      </c>
      <c r="H906" s="18" t="s">
        <v>5</v>
      </c>
      <c r="I906" s="19" t="e">
        <f>IF(Paid[[#This Row],[Currency]]="USD",Paid[[#This Row],[Montant]],Paid[[#This Row],[Montant]]/VLOOKUP(Paid[[#This Row],[Date Paid]],TableCurrencyRate[#All],2,FALSE))</f>
        <v>#N/A</v>
      </c>
    </row>
    <row r="907" spans="2:9" x14ac:dyDescent="0.2">
      <c r="B907" s="12">
        <v>44051</v>
      </c>
      <c r="C907" s="9">
        <v>44049</v>
      </c>
      <c r="D907" s="10"/>
      <c r="E907" s="10" t="s">
        <v>836</v>
      </c>
      <c r="F907" s="11" t="s">
        <v>939</v>
      </c>
      <c r="G907" s="122">
        <f>20000-6350</f>
        <v>13650</v>
      </c>
      <c r="H907" s="18" t="s">
        <v>5</v>
      </c>
      <c r="I907" s="19" t="e">
        <f>IF(Paid[[#This Row],[Currency]]="USD",Paid[[#This Row],[Montant]],Paid[[#This Row],[Montant]]/VLOOKUP(Paid[[#This Row],[Date Paid]],TableCurrencyRate[#All],2,FALSE))</f>
        <v>#N/A</v>
      </c>
    </row>
    <row r="908" spans="2:9" x14ac:dyDescent="0.2">
      <c r="B908" s="12">
        <v>44051</v>
      </c>
      <c r="C908" s="9">
        <v>44023</v>
      </c>
      <c r="D908" s="10"/>
      <c r="E908" s="10"/>
      <c r="F908" s="11" t="s">
        <v>938</v>
      </c>
      <c r="G908" s="122">
        <f>425000-56600</f>
        <v>368400</v>
      </c>
      <c r="H908" s="18" t="s">
        <v>5</v>
      </c>
      <c r="I908" s="19" t="e">
        <f>IF(Paid[[#This Row],[Currency]]="USD",Paid[[#This Row],[Montant]],Paid[[#This Row],[Montant]]/VLOOKUP(Paid[[#This Row],[Date Paid]],TableCurrencyRate[#All],2,FALSE))</f>
        <v>#N/A</v>
      </c>
    </row>
    <row r="909" spans="2:9" x14ac:dyDescent="0.2">
      <c r="B909" s="12">
        <v>44051</v>
      </c>
      <c r="C909" s="9">
        <v>44029</v>
      </c>
      <c r="D909" s="10"/>
      <c r="E909" s="10"/>
      <c r="F909" s="11" t="s">
        <v>936</v>
      </c>
      <c r="G909" s="123">
        <v>6550</v>
      </c>
      <c r="H909" s="18" t="s">
        <v>5</v>
      </c>
      <c r="I909" s="19" t="e">
        <f>IF(Paid[[#This Row],[Currency]]="USD",Paid[[#This Row],[Montant]],Paid[[#This Row],[Montant]]/VLOOKUP(Paid[[#This Row],[Date Paid]],TableCurrencyRate[#All],2,FALSE))</f>
        <v>#N/A</v>
      </c>
    </row>
    <row r="910" spans="2:9" x14ac:dyDescent="0.2">
      <c r="B910" s="120">
        <v>44053</v>
      </c>
      <c r="C910" s="115">
        <v>44053</v>
      </c>
      <c r="D910" s="116"/>
      <c r="E910" s="116"/>
      <c r="F910" s="11" t="s">
        <v>968</v>
      </c>
      <c r="G910" s="124">
        <f>9000-5000</f>
        <v>4000</v>
      </c>
      <c r="H910" s="18" t="s">
        <v>5</v>
      </c>
      <c r="I910" s="119" t="e">
        <f>IF(Paid[[#This Row],[Currency]]="USD",Paid[[#This Row],[Montant]],Paid[[#This Row],[Montant]]/VLOOKUP(Paid[[#This Row],[Date Paid]],TableCurrencyRate[#All],2,FALSE))</f>
        <v>#N/A</v>
      </c>
    </row>
    <row r="911" spans="2:9" x14ac:dyDescent="0.2">
      <c r="B911" s="120">
        <v>44054</v>
      </c>
      <c r="C911" s="13">
        <v>44047</v>
      </c>
      <c r="D911" s="14"/>
      <c r="E911" s="14" t="s">
        <v>930</v>
      </c>
      <c r="F911" s="15" t="s">
        <v>931</v>
      </c>
      <c r="G911" s="77">
        <f>330000-109150</f>
        <v>220850</v>
      </c>
      <c r="H911" s="16" t="s">
        <v>5</v>
      </c>
      <c r="I911" s="119" t="e">
        <f>IF(Paid[[#This Row],[Currency]]="USD",Paid[[#This Row],[Montant]],Paid[[#This Row],[Montant]]/VLOOKUP(Paid[[#This Row],[Date Paid]],TableCurrencyRate[#All],2,FALSE))</f>
        <v>#N/A</v>
      </c>
    </row>
    <row r="912" spans="2:9" x14ac:dyDescent="0.2">
      <c r="B912" s="120">
        <v>44055</v>
      </c>
      <c r="C912" s="115">
        <v>44055</v>
      </c>
      <c r="D912" s="116"/>
      <c r="E912" s="116"/>
      <c r="F912" s="11" t="s">
        <v>969</v>
      </c>
      <c r="G912" s="125">
        <v>350000</v>
      </c>
      <c r="H912" s="18" t="s">
        <v>5</v>
      </c>
      <c r="I912" s="119" t="e">
        <f>IF(Paid[[#This Row],[Currency]]="USD",Paid[[#This Row],[Montant]],Paid[[#This Row],[Montant]]/VLOOKUP(Paid[[#This Row],[Date Paid]],TableCurrencyRate[#All],2,FALSE))</f>
        <v>#N/A</v>
      </c>
    </row>
    <row r="913" spans="2:14" x14ac:dyDescent="0.2">
      <c r="B913" s="120">
        <v>44055</v>
      </c>
      <c r="C913" s="115">
        <v>44055</v>
      </c>
      <c r="D913" s="116"/>
      <c r="E913" s="116"/>
      <c r="F913" s="11" t="s">
        <v>970</v>
      </c>
      <c r="G913" s="124">
        <f>360000-20300</f>
        <v>339700</v>
      </c>
      <c r="H913" s="18" t="s">
        <v>5</v>
      </c>
      <c r="I913" s="119" t="e">
        <f>IF(Paid[[#This Row],[Currency]]="USD",Paid[[#This Row],[Montant]],Paid[[#This Row],[Montant]]/VLOOKUP(Paid[[#This Row],[Date Paid]],TableCurrencyRate[#All],2,FALSE))</f>
        <v>#N/A</v>
      </c>
    </row>
    <row r="914" spans="2:14" x14ac:dyDescent="0.2">
      <c r="B914" s="120">
        <v>44056</v>
      </c>
      <c r="C914" s="13">
        <v>44050</v>
      </c>
      <c r="D914" s="14"/>
      <c r="E914" s="14" t="s">
        <v>873</v>
      </c>
      <c r="F914" s="15" t="s">
        <v>954</v>
      </c>
      <c r="G914" s="77">
        <f>81100+3500</f>
        <v>84600</v>
      </c>
      <c r="H914" s="16" t="s">
        <v>5</v>
      </c>
      <c r="I914" s="119" t="e">
        <f>IF(Paid[[#This Row],[Currency]]="USD",Paid[[#This Row],[Montant]],Paid[[#This Row],[Montant]]/VLOOKUP(Paid[[#This Row],[Date Paid]],TableCurrencyRate[#All],2,FALSE))</f>
        <v>#N/A</v>
      </c>
    </row>
    <row r="915" spans="2:14" x14ac:dyDescent="0.2">
      <c r="B915" s="120">
        <v>44056</v>
      </c>
      <c r="C915" s="13">
        <v>44050</v>
      </c>
      <c r="D915" s="14"/>
      <c r="E915" s="14" t="s">
        <v>813</v>
      </c>
      <c r="F915" s="15" t="s">
        <v>954</v>
      </c>
      <c r="G915" s="77">
        <f>179300-72350</f>
        <v>106950</v>
      </c>
      <c r="H915" s="16" t="s">
        <v>5</v>
      </c>
      <c r="I915" s="119" t="e">
        <f>IF(Paid[[#This Row],[Currency]]="USD",Paid[[#This Row],[Montant]],Paid[[#This Row],[Montant]]/VLOOKUP(Paid[[#This Row],[Date Paid]],TableCurrencyRate[#All],2,FALSE))</f>
        <v>#N/A</v>
      </c>
    </row>
    <row r="916" spans="2:14" x14ac:dyDescent="0.2">
      <c r="B916" s="120">
        <v>44056</v>
      </c>
      <c r="C916" s="115">
        <v>44056</v>
      </c>
      <c r="D916" s="116"/>
      <c r="E916" s="10" t="s">
        <v>971</v>
      </c>
      <c r="F916" s="11" t="s">
        <v>972</v>
      </c>
      <c r="G916" s="124">
        <v>577920</v>
      </c>
      <c r="H916" s="18" t="s">
        <v>5</v>
      </c>
      <c r="I916" s="119" t="e">
        <f>IF(Paid[[#This Row],[Currency]]="USD",Paid[[#This Row],[Montant]],Paid[[#This Row],[Montant]]/VLOOKUP(Paid[[#This Row],[Date Paid]],TableCurrencyRate[#All],2,FALSE))</f>
        <v>#N/A</v>
      </c>
    </row>
    <row r="917" spans="2:14" x14ac:dyDescent="0.2">
      <c r="B917" s="120">
        <v>44056</v>
      </c>
      <c r="C917" s="115">
        <v>44057</v>
      </c>
      <c r="D917" s="116"/>
      <c r="E917" s="10" t="s">
        <v>971</v>
      </c>
      <c r="F917" s="11" t="s">
        <v>973</v>
      </c>
      <c r="G917" s="124">
        <v>800000</v>
      </c>
      <c r="H917" s="18" t="s">
        <v>5</v>
      </c>
      <c r="I917" s="119" t="e">
        <f>IF(Paid[[#This Row],[Currency]]="USD",Paid[[#This Row],[Montant]],Paid[[#This Row],[Montant]]/VLOOKUP(Paid[[#This Row],[Date Paid]],TableCurrencyRate[#All],2,FALSE))</f>
        <v>#N/A</v>
      </c>
    </row>
    <row r="918" spans="2:14" x14ac:dyDescent="0.2">
      <c r="B918" s="120">
        <v>44056</v>
      </c>
      <c r="C918" s="115">
        <v>44057</v>
      </c>
      <c r="D918" s="116"/>
      <c r="E918" s="10" t="s">
        <v>911</v>
      </c>
      <c r="F918" s="11" t="s">
        <v>974</v>
      </c>
      <c r="G918" s="124">
        <f>34100+1500</f>
        <v>35600</v>
      </c>
      <c r="H918" s="18" t="s">
        <v>5</v>
      </c>
      <c r="I918" s="119" t="e">
        <f>IF(Paid[[#This Row],[Currency]]="USD",Paid[[#This Row],[Montant]],Paid[[#This Row],[Montant]]/VLOOKUP(Paid[[#This Row],[Date Paid]],TableCurrencyRate[#All],2,FALSE))</f>
        <v>#N/A</v>
      </c>
    </row>
    <row r="919" spans="2:14" x14ac:dyDescent="0.2">
      <c r="B919" s="115">
        <v>44057</v>
      </c>
      <c r="C919" s="115">
        <v>44057</v>
      </c>
      <c r="D919" s="116"/>
      <c r="E919" s="10" t="s">
        <v>233</v>
      </c>
      <c r="F919" s="11" t="s">
        <v>975</v>
      </c>
      <c r="G919" s="124">
        <f>189000-8000</f>
        <v>181000</v>
      </c>
      <c r="H919" s="18" t="s">
        <v>5</v>
      </c>
      <c r="I919" s="119" t="e">
        <f>IF(Paid[[#This Row],[Currency]]="USD",Paid[[#This Row],[Montant]],Paid[[#This Row],[Montant]]/VLOOKUP(Paid[[#This Row],[Date Paid]],TableCurrencyRate[#All],2,FALSE))</f>
        <v>#N/A</v>
      </c>
    </row>
    <row r="920" spans="2:14" x14ac:dyDescent="0.2">
      <c r="B920" s="115">
        <v>44057</v>
      </c>
      <c r="C920" s="115">
        <v>44057</v>
      </c>
      <c r="D920" s="116"/>
      <c r="E920" s="10" t="s">
        <v>233</v>
      </c>
      <c r="F920" s="11" t="s">
        <v>975</v>
      </c>
      <c r="G920" s="124">
        <f>120100-25650</f>
        <v>94450</v>
      </c>
      <c r="H920" s="18" t="s">
        <v>5</v>
      </c>
      <c r="I920" s="119" t="e">
        <f>IF(Paid[[#This Row],[Currency]]="USD",Paid[[#This Row],[Montant]],Paid[[#This Row],[Montant]]/VLOOKUP(Paid[[#This Row],[Date Paid]],TableCurrencyRate[#All],2,FALSE))</f>
        <v>#N/A</v>
      </c>
    </row>
    <row r="921" spans="2:14" x14ac:dyDescent="0.2">
      <c r="B921" s="114">
        <v>44069</v>
      </c>
      <c r="C921" s="13">
        <v>44047</v>
      </c>
      <c r="D921" s="14"/>
      <c r="E921" s="14"/>
      <c r="F921" s="15" t="s">
        <v>957</v>
      </c>
      <c r="G921" s="78">
        <v>600000</v>
      </c>
      <c r="H921" s="16" t="s">
        <v>5</v>
      </c>
      <c r="I921" s="119" t="e">
        <f>IF(Paid[[#This Row],[Currency]]="USD",Paid[[#This Row],[Montant]],Paid[[#This Row],[Montant]]/VLOOKUP(Paid[[#This Row],[Date Paid]],TableCurrencyRate[#All],2,FALSE))</f>
        <v>#N/A</v>
      </c>
    </row>
    <row r="922" spans="2:14" x14ac:dyDescent="0.2">
      <c r="B922" s="120">
        <v>44069</v>
      </c>
      <c r="C922" s="13">
        <v>44047</v>
      </c>
      <c r="D922" s="14"/>
      <c r="E922" s="14"/>
      <c r="F922" s="15" t="s">
        <v>958</v>
      </c>
      <c r="G922" s="78">
        <v>800000</v>
      </c>
      <c r="H922" s="16" t="s">
        <v>5</v>
      </c>
      <c r="I922" s="119" t="e">
        <f>IF(Paid[[#This Row],[Currency]]="USD",Paid[[#This Row],[Montant]],Paid[[#This Row],[Montant]]/VLOOKUP(Paid[[#This Row],[Date Paid]],TableCurrencyRate[#All],2,FALSE))</f>
        <v>#N/A</v>
      </c>
    </row>
    <row r="923" spans="2:14" ht="17" thickBot="1" x14ac:dyDescent="0.25">
      <c r="B923" s="114">
        <v>44069</v>
      </c>
      <c r="C923" s="115">
        <v>44047</v>
      </c>
      <c r="D923" s="116"/>
      <c r="E923" s="116"/>
      <c r="F923" s="117" t="s">
        <v>956</v>
      </c>
      <c r="G923" s="125">
        <v>620000</v>
      </c>
      <c r="H923" s="118" t="s">
        <v>5</v>
      </c>
      <c r="I923" s="119" t="e">
        <f>IF(Paid[[#This Row],[Currency]]="USD",Paid[[#This Row],[Montant]],Paid[[#This Row],[Montant]]/VLOOKUP(Paid[[#This Row],[Date Paid]],TableCurrencyRate[#All],2,FALSE))</f>
        <v>#N/A</v>
      </c>
    </row>
    <row r="924" spans="2:14" x14ac:dyDescent="0.2">
      <c r="B924" s="120">
        <v>44069</v>
      </c>
      <c r="C924" s="115">
        <v>44009</v>
      </c>
      <c r="D924" s="116"/>
      <c r="E924" s="116"/>
      <c r="F924" s="117" t="s">
        <v>929</v>
      </c>
      <c r="G924" s="124">
        <v>108050</v>
      </c>
      <c r="H924" s="118" t="s">
        <v>5</v>
      </c>
      <c r="I924" s="119" t="e">
        <f>IF(Paid[[#This Row],[Currency]]="USD",Paid[[#This Row],[Montant]],Paid[[#This Row],[Montant]]/VLOOKUP(Paid[[#This Row],[Date Paid]],TableCurrencyRate[#All],2,FALSE))</f>
        <v>#N/A</v>
      </c>
      <c r="K924" s="136" t="s">
        <v>1028</v>
      </c>
      <c r="L924" s="126"/>
      <c r="M924" s="127"/>
    </row>
    <row r="925" spans="2:14" x14ac:dyDescent="0.2">
      <c r="B925" s="114">
        <v>44069</v>
      </c>
      <c r="C925" s="115">
        <v>44022</v>
      </c>
      <c r="D925" s="116"/>
      <c r="E925" s="116"/>
      <c r="F925" s="117" t="s">
        <v>21</v>
      </c>
      <c r="G925" s="124">
        <v>112100</v>
      </c>
      <c r="H925" s="118" t="s">
        <v>5</v>
      </c>
      <c r="I925" s="119" t="e">
        <f>IF(Paid[[#This Row],[Currency]]="USD",Paid[[#This Row],[Montant]],Paid[[#This Row],[Montant]]/VLOOKUP(Paid[[#This Row],[Date Paid]],TableCurrencyRate[#All],2,FALSE))</f>
        <v>#N/A</v>
      </c>
      <c r="K925" s="148" t="s">
        <v>1026</v>
      </c>
      <c r="L925" s="129"/>
      <c r="M925" s="130" t="s">
        <v>1027</v>
      </c>
    </row>
    <row r="926" spans="2:14" x14ac:dyDescent="0.2">
      <c r="B926" s="120">
        <v>44069</v>
      </c>
      <c r="C926" s="115">
        <v>44034</v>
      </c>
      <c r="D926" s="116"/>
      <c r="E926" s="116"/>
      <c r="F926" s="117" t="s">
        <v>21</v>
      </c>
      <c r="G926" s="124">
        <v>107816</v>
      </c>
      <c r="H926" s="118" t="s">
        <v>5</v>
      </c>
      <c r="I926" s="119" t="e">
        <f>IF(Paid[[#This Row],[Currency]]="USD",Paid[[#This Row],[Montant]],Paid[[#This Row],[Montant]]/VLOOKUP(Paid[[#This Row],[Date Paid]],TableCurrencyRate[#All],2,FALSE))</f>
        <v>#N/A</v>
      </c>
      <c r="K926" s="131">
        <f>SUM(G901,G912,G909,G921,G922,G923,G928,G929,G934,G935,G942)/1350</f>
        <v>2066.2148148148149</v>
      </c>
      <c r="L926" s="129"/>
      <c r="M926" s="130">
        <f>3596000/1350</f>
        <v>2663.7037037037039</v>
      </c>
      <c r="N926" s="142">
        <f>M926/M927</f>
        <v>0.25408309987034416</v>
      </c>
    </row>
    <row r="927" spans="2:14" x14ac:dyDescent="0.2">
      <c r="B927" s="114">
        <v>44069</v>
      </c>
      <c r="C927" s="115">
        <v>44065</v>
      </c>
      <c r="D927" s="116"/>
      <c r="E927" s="116"/>
      <c r="F927" s="117" t="s">
        <v>21</v>
      </c>
      <c r="G927" s="124">
        <v>86650</v>
      </c>
      <c r="H927" s="118" t="s">
        <v>5</v>
      </c>
      <c r="I927" s="119" t="e">
        <f>IF(Paid[[#This Row],[Currency]]="USD",Paid[[#This Row],[Montant]],Paid[[#This Row],[Montant]]/VLOOKUP(Paid[[#This Row],[Date Paid]],TableCurrencyRate[#All],2,FALSE))</f>
        <v>#N/A</v>
      </c>
      <c r="K927" s="131">
        <f>G954</f>
        <v>692.25</v>
      </c>
      <c r="L927" s="129"/>
      <c r="M927" s="130">
        <f>14152850/1350</f>
        <v>10483.592592592593</v>
      </c>
      <c r="N927" s="142">
        <f>M928/M927</f>
        <v>0.74591690012965584</v>
      </c>
    </row>
    <row r="928" spans="2:14" x14ac:dyDescent="0.2">
      <c r="B928" s="120">
        <v>44069</v>
      </c>
      <c r="C928" s="115">
        <v>44055</v>
      </c>
      <c r="D928" s="116"/>
      <c r="E928" s="116"/>
      <c r="F928" s="117" t="s">
        <v>963</v>
      </c>
      <c r="G928" s="125">
        <v>1000</v>
      </c>
      <c r="H928" s="118" t="s">
        <v>5</v>
      </c>
      <c r="I928" s="119" t="e">
        <f>IF(Paid[[#This Row],[Currency]]="USD",Paid[[#This Row],[Montant]],Paid[[#This Row],[Montant]]/VLOOKUP(Paid[[#This Row],[Date Paid]],TableCurrencyRate[#All],2,FALSE))</f>
        <v>#N/A</v>
      </c>
      <c r="K928" s="128">
        <f>M926</f>
        <v>2663.7037037037039</v>
      </c>
      <c r="L928" s="129"/>
      <c r="M928" s="130">
        <f>M927-M926</f>
        <v>7819.8888888888887</v>
      </c>
    </row>
    <row r="929" spans="2:13" x14ac:dyDescent="0.2">
      <c r="B929" s="114">
        <v>44069</v>
      </c>
      <c r="C929" s="115">
        <v>44048</v>
      </c>
      <c r="D929" s="116"/>
      <c r="E929" s="116"/>
      <c r="F929" s="117" t="s">
        <v>960</v>
      </c>
      <c r="G929" s="125">
        <v>250000</v>
      </c>
      <c r="H929" s="118" t="s">
        <v>5</v>
      </c>
      <c r="I929" s="119" t="e">
        <f>IF(Paid[[#This Row],[Currency]]="USD",Paid[[#This Row],[Montant]],Paid[[#This Row],[Montant]]/VLOOKUP(Paid[[#This Row],[Date Paid]],TableCurrencyRate[#All],2,FALSE))</f>
        <v>#N/A</v>
      </c>
      <c r="K929" s="128"/>
      <c r="L929" s="129"/>
      <c r="M929" s="130"/>
    </row>
    <row r="930" spans="2:13" x14ac:dyDescent="0.2">
      <c r="B930" s="120">
        <v>44069</v>
      </c>
      <c r="C930" s="115">
        <v>44037</v>
      </c>
      <c r="D930" s="116"/>
      <c r="E930" s="116"/>
      <c r="F930" s="117" t="s">
        <v>71</v>
      </c>
      <c r="G930" s="124">
        <f>368000-43600</f>
        <v>324400</v>
      </c>
      <c r="H930" s="118" t="s">
        <v>5</v>
      </c>
      <c r="I930" s="119" t="e">
        <f>IF(Paid[[#This Row],[Currency]]="USD",Paid[[#This Row],[Montant]],Paid[[#This Row],[Montant]]/VLOOKUP(Paid[[#This Row],[Date Paid]],TableCurrencyRate[#All],2,FALSE))</f>
        <v>#N/A</v>
      </c>
      <c r="K930" s="132">
        <f>SUM(K926:K928)</f>
        <v>5422.1685185185188</v>
      </c>
      <c r="L930" s="129"/>
      <c r="M930" s="130"/>
    </row>
    <row r="931" spans="2:13" x14ac:dyDescent="0.2">
      <c r="B931" s="114">
        <v>44069</v>
      </c>
      <c r="C931" s="115">
        <v>44047</v>
      </c>
      <c r="D931" s="116"/>
      <c r="E931" s="116"/>
      <c r="F931" s="117" t="s">
        <v>72</v>
      </c>
      <c r="G931" s="124">
        <f>370000-81500</f>
        <v>288500</v>
      </c>
      <c r="H931" s="118" t="s">
        <v>5</v>
      </c>
      <c r="I931" s="119" t="e">
        <f>IF(Paid[[#This Row],[Currency]]="USD",Paid[[#This Row],[Montant]],Paid[[#This Row],[Montant]]/VLOOKUP(Paid[[#This Row],[Date Paid]],TableCurrencyRate[#All],2,FALSE))</f>
        <v>#N/A</v>
      </c>
      <c r="K931" s="128"/>
      <c r="L931" s="129"/>
      <c r="M931" s="130"/>
    </row>
    <row r="932" spans="2:13" x14ac:dyDescent="0.2">
      <c r="B932" s="120">
        <v>44069</v>
      </c>
      <c r="C932" s="115">
        <v>44053</v>
      </c>
      <c r="D932" s="116"/>
      <c r="E932" s="116"/>
      <c r="F932" s="117" t="s">
        <v>966</v>
      </c>
      <c r="G932" s="124">
        <f>400000-20800</f>
        <v>379200</v>
      </c>
      <c r="H932" s="118" t="s">
        <v>5</v>
      </c>
      <c r="I932" s="119" t="e">
        <f>IF(Paid[[#This Row],[Currency]]="USD",Paid[[#This Row],[Montant]],Paid[[#This Row],[Montant]]/VLOOKUP(Paid[[#This Row],[Date Paid]],TableCurrencyRate[#All],2,FALSE))</f>
        <v>#N/A</v>
      </c>
      <c r="K932" s="147" t="s">
        <v>1029</v>
      </c>
      <c r="L932" s="129"/>
      <c r="M932" s="130"/>
    </row>
    <row r="933" spans="2:13" x14ac:dyDescent="0.2">
      <c r="B933" s="114">
        <v>44069</v>
      </c>
      <c r="C933" s="115">
        <v>44057</v>
      </c>
      <c r="D933" s="116"/>
      <c r="E933" s="116"/>
      <c r="F933" s="117" t="s">
        <v>967</v>
      </c>
      <c r="G933" s="124">
        <f>425000+10800</f>
        <v>435800</v>
      </c>
      <c r="H933" s="118" t="s">
        <v>5</v>
      </c>
      <c r="I933" s="119" t="e">
        <f>IF(Paid[[#This Row],[Currency]]="USD",Paid[[#This Row],[Montant]],Paid[[#This Row],[Montant]]/VLOOKUP(Paid[[#This Row],[Date Paid]],TableCurrencyRate[#All],2,FALSE))</f>
        <v>#N/A</v>
      </c>
      <c r="K933" s="131">
        <f>SUM(G902:G908)+G900+G910+G911+SUM(G913:G920)+SUM(G924:G927)+SUM(G930:G933)+SUM(G936:G941)</f>
        <v>5531586</v>
      </c>
      <c r="L933" s="129"/>
      <c r="M933" s="130"/>
    </row>
    <row r="934" spans="2:13" x14ac:dyDescent="0.2">
      <c r="B934" s="120">
        <v>44069</v>
      </c>
      <c r="C934" s="115">
        <v>44048</v>
      </c>
      <c r="D934" s="116"/>
      <c r="E934" s="116"/>
      <c r="F934" s="117" t="s">
        <v>959</v>
      </c>
      <c r="G934" s="125">
        <v>112400</v>
      </c>
      <c r="H934" s="118" t="s">
        <v>5</v>
      </c>
      <c r="I934" s="119" t="e">
        <f>IF(Paid[[#This Row],[Currency]]="USD",Paid[[#This Row],[Montant]],Paid[[#This Row],[Montant]]/VLOOKUP(Paid[[#This Row],[Date Paid]],TableCurrencyRate[#All],2,FALSE))</f>
        <v>#N/A</v>
      </c>
      <c r="K934" s="131">
        <f>K933/1350</f>
        <v>4097.471111111111</v>
      </c>
      <c r="L934" s="129"/>
      <c r="M934" s="130"/>
    </row>
    <row r="935" spans="2:13" x14ac:dyDescent="0.2">
      <c r="B935" s="114">
        <v>44069</v>
      </c>
      <c r="C935" s="115">
        <v>44064</v>
      </c>
      <c r="D935" s="116"/>
      <c r="E935" s="116"/>
      <c r="F935" s="117" t="s">
        <v>787</v>
      </c>
      <c r="G935" s="125">
        <v>5940</v>
      </c>
      <c r="H935" s="118" t="s">
        <v>5</v>
      </c>
      <c r="I935" s="119" t="e">
        <f>IF(Paid[[#This Row],[Currency]]="USD",Paid[[#This Row],[Montant]],Paid[[#This Row],[Montant]]/VLOOKUP(Paid[[#This Row],[Date Paid]],TableCurrencyRate[#All],2,FALSE))</f>
        <v>#N/A</v>
      </c>
      <c r="K935" s="128">
        <f>M928</f>
        <v>7819.8888888888887</v>
      </c>
      <c r="L935" s="129"/>
      <c r="M935" s="130"/>
    </row>
    <row r="936" spans="2:13" x14ac:dyDescent="0.2">
      <c r="B936" s="120">
        <v>44069</v>
      </c>
      <c r="C936" s="115">
        <v>44069</v>
      </c>
      <c r="D936" s="116"/>
      <c r="E936" s="116"/>
      <c r="F936" s="11" t="s">
        <v>975</v>
      </c>
      <c r="G936" s="124">
        <v>4000</v>
      </c>
      <c r="H936" s="18" t="s">
        <v>5</v>
      </c>
      <c r="I936" s="119" t="e">
        <f>IF(Paid[[#This Row],[Currency]]="USD",Paid[[#This Row],[Montant]],Paid[[#This Row],[Montant]]/VLOOKUP(Paid[[#This Row],[Date Paid]],TableCurrencyRate[#All],2,FALSE))</f>
        <v>#N/A</v>
      </c>
      <c r="K936" s="128"/>
      <c r="L936" s="129"/>
      <c r="M936" s="130"/>
    </row>
    <row r="937" spans="2:13" ht="17" thickBot="1" x14ac:dyDescent="0.25">
      <c r="B937" s="114">
        <v>44069</v>
      </c>
      <c r="C937" s="115">
        <v>44068</v>
      </c>
      <c r="D937" s="116"/>
      <c r="E937" s="116" t="s">
        <v>813</v>
      </c>
      <c r="F937" s="117" t="s">
        <v>961</v>
      </c>
      <c r="G937" s="124">
        <f>98000-9700</f>
        <v>88300</v>
      </c>
      <c r="H937" s="118" t="s">
        <v>5</v>
      </c>
      <c r="I937" s="119" t="e">
        <f>IF(Paid[[#This Row],[Currency]]="USD",Paid[[#This Row],[Montant]],Paid[[#This Row],[Montant]]/VLOOKUP(Paid[[#This Row],[Date Paid]],TableCurrencyRate[#All],2,FALSE))</f>
        <v>#N/A</v>
      </c>
      <c r="K937" s="133">
        <f>SUM(K934:K935)</f>
        <v>11917.36</v>
      </c>
      <c r="L937" s="134"/>
      <c r="M937" s="135"/>
    </row>
    <row r="938" spans="2:13" x14ac:dyDescent="0.2">
      <c r="B938" s="120">
        <v>44069</v>
      </c>
      <c r="C938" s="115">
        <v>44068</v>
      </c>
      <c r="D938" s="116"/>
      <c r="E938" s="116" t="s">
        <v>873</v>
      </c>
      <c r="F938" s="117" t="s">
        <v>961</v>
      </c>
      <c r="G938" s="124">
        <f>10000-1000</f>
        <v>9000</v>
      </c>
      <c r="H938" s="118" t="s">
        <v>5</v>
      </c>
      <c r="I938" s="119" t="e">
        <f>IF(Paid[[#This Row],[Currency]]="USD",Paid[[#This Row],[Montant]],Paid[[#This Row],[Montant]]/VLOOKUP(Paid[[#This Row],[Date Paid]],TableCurrencyRate[#All],2,FALSE))</f>
        <v>#N/A</v>
      </c>
    </row>
    <row r="939" spans="2:13" x14ac:dyDescent="0.2">
      <c r="B939" s="114">
        <v>44069</v>
      </c>
      <c r="C939" s="115">
        <v>44068</v>
      </c>
      <c r="D939" s="116"/>
      <c r="E939" s="116"/>
      <c r="F939" s="117" t="s">
        <v>962</v>
      </c>
      <c r="G939" s="124">
        <f>38800-1800</f>
        <v>37000</v>
      </c>
      <c r="H939" s="118" t="s">
        <v>5</v>
      </c>
      <c r="I939" s="119" t="e">
        <f>IF(Paid[[#This Row],[Currency]]="USD",Paid[[#This Row],[Montant]],Paid[[#This Row],[Montant]]/VLOOKUP(Paid[[#This Row],[Date Paid]],TableCurrencyRate[#All],2,FALSE))</f>
        <v>#N/A</v>
      </c>
    </row>
    <row r="940" spans="2:13" x14ac:dyDescent="0.2">
      <c r="B940" s="120">
        <v>44069</v>
      </c>
      <c r="C940" s="115">
        <v>44055</v>
      </c>
      <c r="D940" s="116"/>
      <c r="E940" s="116"/>
      <c r="F940" s="117" t="s">
        <v>964</v>
      </c>
      <c r="G940" s="124">
        <f>149800-16900</f>
        <v>132900</v>
      </c>
      <c r="H940" s="118" t="s">
        <v>5</v>
      </c>
      <c r="I940" s="119" t="e">
        <f>IF(Paid[[#This Row],[Currency]]="USD",Paid[[#This Row],[Montant]],Paid[[#This Row],[Montant]]/VLOOKUP(Paid[[#This Row],[Date Paid]],TableCurrencyRate[#All],2,FALSE))</f>
        <v>#N/A</v>
      </c>
    </row>
    <row r="941" spans="2:13" ht="17" thickBot="1" x14ac:dyDescent="0.25">
      <c r="B941" s="114">
        <v>44069</v>
      </c>
      <c r="C941" s="115">
        <v>44009</v>
      </c>
      <c r="D941" s="116"/>
      <c r="E941" s="116"/>
      <c r="F941" s="117" t="s">
        <v>965</v>
      </c>
      <c r="G941" s="124">
        <f>173600+28550</f>
        <v>202150</v>
      </c>
      <c r="H941" s="118" t="s">
        <v>5</v>
      </c>
      <c r="I941" s="119" t="e">
        <f>IF(Paid[[#This Row],[Currency]]="USD",Paid[[#This Row],[Montant]],Paid[[#This Row],[Montant]]/VLOOKUP(Paid[[#This Row],[Date Paid]],TableCurrencyRate[#All],2,FALSE))</f>
        <v>#N/A</v>
      </c>
    </row>
    <row r="942" spans="2:13" x14ac:dyDescent="0.2">
      <c r="B942" s="120">
        <v>44069</v>
      </c>
      <c r="C942" s="115">
        <v>44069</v>
      </c>
      <c r="D942" s="116"/>
      <c r="E942" s="116"/>
      <c r="F942" s="11" t="s">
        <v>976</v>
      </c>
      <c r="G942" s="125">
        <f>37000-8500</f>
        <v>28500</v>
      </c>
      <c r="H942" s="18" t="s">
        <v>5</v>
      </c>
      <c r="I942" s="119" t="e">
        <f>IF(Paid[[#This Row],[Currency]]="USD",Paid[[#This Row],[Montant]],Paid[[#This Row],[Montant]]/VLOOKUP(Paid[[#This Row],[Date Paid]],TableCurrencyRate[#All],2,FALSE))</f>
        <v>#N/A</v>
      </c>
      <c r="K942" s="136" t="s">
        <v>1030</v>
      </c>
      <c r="L942" s="127"/>
    </row>
    <row r="943" spans="2:13" x14ac:dyDescent="0.2">
      <c r="B943" s="120">
        <v>44078</v>
      </c>
      <c r="C943" s="115">
        <v>44078</v>
      </c>
      <c r="D943" s="116"/>
      <c r="E943" s="116"/>
      <c r="F943" s="11" t="s">
        <v>953</v>
      </c>
      <c r="G943" s="118">
        <f>10475333+3729065</f>
        <v>14204398</v>
      </c>
      <c r="H943" s="18" t="s">
        <v>5</v>
      </c>
      <c r="I943" s="119" t="e">
        <f>IF(Paid[[#This Row],[Currency]]="USD",Paid[[#This Row],[Montant]],Paid[[#This Row],[Montant]]/VLOOKUP(Paid[[#This Row],[Date Paid]],TableCurrencyRate[#All],2,FALSE))</f>
        <v>#N/A</v>
      </c>
      <c r="K943" s="145" t="s">
        <v>1026</v>
      </c>
      <c r="L943" s="130"/>
    </row>
    <row r="944" spans="2:13" x14ac:dyDescent="0.2">
      <c r="B944" s="120">
        <v>44079</v>
      </c>
      <c r="C944" s="13">
        <v>44055</v>
      </c>
      <c r="D944" s="14" t="s">
        <v>46</v>
      </c>
      <c r="E944" s="14"/>
      <c r="F944" s="15" t="s">
        <v>977</v>
      </c>
      <c r="G944" s="79">
        <v>155700</v>
      </c>
      <c r="H944" s="16" t="s">
        <v>5</v>
      </c>
      <c r="I944" s="119" t="e">
        <f>IF(Paid[[#This Row],[Currency]]="USD",Paid[[#This Row],[Montant]],Paid[[#This Row],[Montant]]/VLOOKUP(Paid[[#This Row],[Date Paid]],TableCurrencyRate[#All],2,FALSE))</f>
        <v>#N/A</v>
      </c>
      <c r="K944" s="128">
        <f>(SUM(G944:G947)+SUM(G951:G952)+SUM(G956:G958)+G960+G966+SUM(G968:G970)*N926+SUM(G976:G978)+G983+G984+G988)/1310</f>
        <v>6910.9259242824528</v>
      </c>
      <c r="L944" s="130" t="s">
        <v>1031</v>
      </c>
    </row>
    <row r="945" spans="2:12" x14ac:dyDescent="0.2">
      <c r="B945" s="120">
        <v>44079</v>
      </c>
      <c r="C945" s="13">
        <v>44047</v>
      </c>
      <c r="D945" s="14"/>
      <c r="E945" s="14"/>
      <c r="F945" s="15" t="s">
        <v>978</v>
      </c>
      <c r="G945" s="79">
        <v>600000</v>
      </c>
      <c r="H945" s="16" t="s">
        <v>5</v>
      </c>
      <c r="I945" s="119" t="e">
        <f>IF(Paid[[#This Row],[Currency]]="USD",Paid[[#This Row],[Montant]],Paid[[#This Row],[Montant]]/VLOOKUP(Paid[[#This Row],[Date Paid]],TableCurrencyRate[#All],2,FALSE))</f>
        <v>#N/A</v>
      </c>
      <c r="K945" s="131">
        <f>G955+G979</f>
        <v>1092.25</v>
      </c>
      <c r="L945" s="130" t="s">
        <v>1034</v>
      </c>
    </row>
    <row r="946" spans="2:12" x14ac:dyDescent="0.2">
      <c r="B946" s="120">
        <v>44079</v>
      </c>
      <c r="C946" s="115">
        <v>44079</v>
      </c>
      <c r="D946" s="116"/>
      <c r="E946" s="116"/>
      <c r="F946" s="11" t="s">
        <v>983</v>
      </c>
      <c r="G946" s="137">
        <v>1000000</v>
      </c>
      <c r="H946" s="18" t="s">
        <v>5</v>
      </c>
      <c r="I946" s="119" t="e">
        <f>IF(Paid[[#This Row],[Currency]]="USD",Paid[[#This Row],[Montant]],Paid[[#This Row],[Montant]]/VLOOKUP(Paid[[#This Row],[Date Paid]],TableCurrencyRate[#All],2,FALSE))</f>
        <v>#N/A</v>
      </c>
      <c r="K946" s="143">
        <f>K945+K944</f>
        <v>8003.1759242824528</v>
      </c>
      <c r="L946" s="130"/>
    </row>
    <row r="947" spans="2:12" x14ac:dyDescent="0.2">
      <c r="B947" s="120">
        <v>44079</v>
      </c>
      <c r="C947" s="115">
        <v>44079</v>
      </c>
      <c r="D947" s="116"/>
      <c r="E947" s="116"/>
      <c r="F947" s="11" t="s">
        <v>984</v>
      </c>
      <c r="G947" s="137">
        <v>350000</v>
      </c>
      <c r="H947" s="18" t="s">
        <v>5</v>
      </c>
      <c r="I947" s="119" t="e">
        <f>IF(Paid[[#This Row],[Currency]]="USD",Paid[[#This Row],[Montant]],Paid[[#This Row],[Montant]]/VLOOKUP(Paid[[#This Row],[Date Paid]],TableCurrencyRate[#All],2,FALSE))</f>
        <v>#N/A</v>
      </c>
      <c r="K947" s="128"/>
      <c r="L947" s="130"/>
    </row>
    <row r="948" spans="2:12" x14ac:dyDescent="0.2">
      <c r="B948" s="120">
        <v>44079</v>
      </c>
      <c r="C948" s="115">
        <v>44079</v>
      </c>
      <c r="D948" s="116"/>
      <c r="E948" s="116"/>
      <c r="F948" s="11" t="s">
        <v>38</v>
      </c>
      <c r="G948" s="138">
        <v>490000</v>
      </c>
      <c r="H948" s="18" t="s">
        <v>5</v>
      </c>
      <c r="I948" s="119" t="e">
        <f>IF(Paid[[#This Row],[Currency]]="USD",Paid[[#This Row],[Montant]],Paid[[#This Row],[Montant]]/VLOOKUP(Paid[[#This Row],[Date Paid]],TableCurrencyRate[#All],2,FALSE))</f>
        <v>#N/A</v>
      </c>
      <c r="K948" s="146" t="s">
        <v>1029</v>
      </c>
      <c r="L948" s="130"/>
    </row>
    <row r="949" spans="2:12" x14ac:dyDescent="0.2">
      <c r="B949" s="120">
        <v>44079</v>
      </c>
      <c r="C949" s="115">
        <v>44079</v>
      </c>
      <c r="D949" s="116"/>
      <c r="E949" s="116"/>
      <c r="F949" s="11" t="s">
        <v>985</v>
      </c>
      <c r="G949" s="138">
        <v>78600</v>
      </c>
      <c r="H949" s="18" t="s">
        <v>5</v>
      </c>
      <c r="I949" s="119" t="e">
        <f>IF(Paid[[#This Row],[Currency]]="USD",Paid[[#This Row],[Montant]],Paid[[#This Row],[Montant]]/VLOOKUP(Paid[[#This Row],[Date Paid]],TableCurrencyRate[#All],2,FALSE))</f>
        <v>#N/A</v>
      </c>
      <c r="K949" s="45">
        <f>(SUM(G948:G950)+G953+G959+SUM(G961:G965)+G967+SUM(G971:G974)+SUM(G980:G982)+SUM(G980:G982)+G986+G975)/1310</f>
        <v>16773.674122137407</v>
      </c>
      <c r="L949" s="130" t="s">
        <v>1031</v>
      </c>
    </row>
    <row r="950" spans="2:12" x14ac:dyDescent="0.2">
      <c r="B950" s="120">
        <v>44079</v>
      </c>
      <c r="C950" s="115">
        <v>44079</v>
      </c>
      <c r="D950" s="116"/>
      <c r="E950" s="116"/>
      <c r="F950" s="11" t="s">
        <v>986</v>
      </c>
      <c r="G950" s="138">
        <f>83000-6600</f>
        <v>76400</v>
      </c>
      <c r="H950" s="18" t="s">
        <v>5</v>
      </c>
      <c r="I950" s="119" t="e">
        <f>IF(Paid[[#This Row],[Currency]]="USD",Paid[[#This Row],[Montant]],Paid[[#This Row],[Montant]]/VLOOKUP(Paid[[#This Row],[Date Paid]],TableCurrencyRate[#All],2,FALSE))</f>
        <v>#N/A</v>
      </c>
      <c r="K950" s="45">
        <f>G985+G987</f>
        <v>5263.66</v>
      </c>
      <c r="L950" s="130" t="s">
        <v>9</v>
      </c>
    </row>
    <row r="951" spans="2:12" x14ac:dyDescent="0.2">
      <c r="B951" s="120">
        <v>44079</v>
      </c>
      <c r="C951" s="115">
        <v>44079</v>
      </c>
      <c r="D951" s="116"/>
      <c r="E951" s="116"/>
      <c r="F951" s="11" t="s">
        <v>987</v>
      </c>
      <c r="G951" s="137">
        <f>66000-12250</f>
        <v>53750</v>
      </c>
      <c r="H951" s="18" t="s">
        <v>5</v>
      </c>
      <c r="I951" s="119" t="e">
        <f>IF(Paid[[#This Row],[Currency]]="USD",Paid[[#This Row],[Montant]],Paid[[#This Row],[Montant]]/VLOOKUP(Paid[[#This Row],[Date Paid]],TableCurrencyRate[#All],2,FALSE))</f>
        <v>#N/A</v>
      </c>
      <c r="K951" s="131">
        <f>SUM(G968:G970)*N927/1310</f>
        <v>974.00690014502777</v>
      </c>
      <c r="L951" s="130" t="s">
        <v>1032</v>
      </c>
    </row>
    <row r="952" spans="2:12" x14ac:dyDescent="0.2">
      <c r="B952" s="120">
        <v>44082</v>
      </c>
      <c r="C952" s="115">
        <v>44082</v>
      </c>
      <c r="D952" s="116"/>
      <c r="E952" s="116"/>
      <c r="F952" s="11" t="s">
        <v>902</v>
      </c>
      <c r="G952" s="137">
        <v>95000</v>
      </c>
      <c r="H952" s="18" t="s">
        <v>5</v>
      </c>
      <c r="I952" s="119" t="e">
        <f>IF(Paid[[#This Row],[Currency]]="USD",Paid[[#This Row],[Montant]],Paid[[#This Row],[Montant]]/VLOOKUP(Paid[[#This Row],[Date Paid]],TableCurrencyRate[#All],2,FALSE))</f>
        <v>#N/A</v>
      </c>
      <c r="K952" s="128">
        <v>8510</v>
      </c>
      <c r="L952" s="130" t="s">
        <v>1033</v>
      </c>
    </row>
    <row r="953" spans="2:12" ht="17" thickBot="1" x14ac:dyDescent="0.25">
      <c r="B953" s="120">
        <v>44084</v>
      </c>
      <c r="C953" s="115">
        <v>44084</v>
      </c>
      <c r="D953" s="10" t="s">
        <v>279</v>
      </c>
      <c r="E953" s="116"/>
      <c r="F953" s="11" t="s">
        <v>827</v>
      </c>
      <c r="G953" s="138">
        <v>250000</v>
      </c>
      <c r="H953" s="18" t="s">
        <v>5</v>
      </c>
      <c r="I953" s="119" t="e">
        <f>IF(Paid[[#This Row],[Currency]]="USD",Paid[[#This Row],[Montant]],Paid[[#This Row],[Montant]]/VLOOKUP(Paid[[#This Row],[Date Paid]],TableCurrencyRate[#All],2,FALSE))</f>
        <v>#N/A</v>
      </c>
      <c r="K953" s="144">
        <f>SUM(K949:K952)</f>
        <v>31521.341022282435</v>
      </c>
      <c r="L953" s="135"/>
    </row>
    <row r="954" spans="2:12" x14ac:dyDescent="0.2">
      <c r="B954" s="120">
        <v>44085</v>
      </c>
      <c r="C954" s="13">
        <v>44047</v>
      </c>
      <c r="D954" s="14"/>
      <c r="E954" s="14"/>
      <c r="F954" s="15" t="s">
        <v>981</v>
      </c>
      <c r="G954" s="78">
        <v>692.25</v>
      </c>
      <c r="H954" s="16" t="s">
        <v>6</v>
      </c>
      <c r="I954" s="119">
        <f>IF(Paid[[#This Row],[Currency]]="USD",Paid[[#This Row],[Montant]],Paid[[#This Row],[Montant]]/VLOOKUP(Paid[[#This Row],[Date Paid]],TableCurrencyRate[#All],2,FALSE))</f>
        <v>692.25</v>
      </c>
    </row>
    <row r="955" spans="2:12" x14ac:dyDescent="0.2">
      <c r="B955" s="120">
        <v>44085</v>
      </c>
      <c r="C955" s="13">
        <v>44074</v>
      </c>
      <c r="D955" s="14"/>
      <c r="E955" s="14"/>
      <c r="F955" s="15" t="s">
        <v>1015</v>
      </c>
      <c r="G955" s="139">
        <v>692.25</v>
      </c>
      <c r="H955" s="16" t="s">
        <v>6</v>
      </c>
      <c r="I955" s="119">
        <f>IF(Paid[[#This Row],[Currency]]="USD",Paid[[#This Row],[Montant]],Paid[[#This Row],[Montant]]/VLOOKUP(Paid[[#This Row],[Date Paid]],TableCurrencyRate[#All],2,FALSE))</f>
        <v>692.25</v>
      </c>
    </row>
    <row r="956" spans="2:12" x14ac:dyDescent="0.2">
      <c r="B956" s="120">
        <v>44085</v>
      </c>
      <c r="C956" s="13">
        <v>44078</v>
      </c>
      <c r="D956" s="14"/>
      <c r="E956" s="14"/>
      <c r="F956" s="15" t="s">
        <v>979</v>
      </c>
      <c r="G956" s="79">
        <v>800000</v>
      </c>
      <c r="H956" s="16" t="s">
        <v>5</v>
      </c>
      <c r="I956" s="119" t="e">
        <f>IF(Paid[[#This Row],[Currency]]="USD",Paid[[#This Row],[Montant]],Paid[[#This Row],[Montant]]/VLOOKUP(Paid[[#This Row],[Date Paid]],TableCurrencyRate[#All],2,FALSE))</f>
        <v>#N/A</v>
      </c>
    </row>
    <row r="957" spans="2:12" x14ac:dyDescent="0.2">
      <c r="B957" s="120">
        <v>44085</v>
      </c>
      <c r="C957" s="13">
        <v>44078</v>
      </c>
      <c r="D957" s="14"/>
      <c r="E957" s="14"/>
      <c r="F957" s="15" t="s">
        <v>980</v>
      </c>
      <c r="G957" s="79">
        <v>620000</v>
      </c>
      <c r="H957" s="16" t="s">
        <v>5</v>
      </c>
      <c r="I957" s="119" t="e">
        <f>IF(Paid[[#This Row],[Currency]]="USD",Paid[[#This Row],[Montant]],Paid[[#This Row],[Montant]]/VLOOKUP(Paid[[#This Row],[Date Paid]],TableCurrencyRate[#All],2,FALSE))</f>
        <v>#N/A</v>
      </c>
    </row>
    <row r="958" spans="2:12" x14ac:dyDescent="0.2">
      <c r="B958" s="120">
        <v>44085</v>
      </c>
      <c r="C958" s="13">
        <v>44085</v>
      </c>
      <c r="D958" s="14"/>
      <c r="E958" s="14"/>
      <c r="F958" s="15" t="s">
        <v>1009</v>
      </c>
      <c r="G958" s="139">
        <v>250000</v>
      </c>
      <c r="H958" s="16" t="s">
        <v>5</v>
      </c>
      <c r="I958" s="119" t="e">
        <f>IF(Paid[[#This Row],[Currency]]="USD",Paid[[#This Row],[Montant]],Paid[[#This Row],[Montant]]/VLOOKUP(Paid[[#This Row],[Date Paid]],TableCurrencyRate[#All],2,FALSE))</f>
        <v>#N/A</v>
      </c>
    </row>
    <row r="959" spans="2:12" x14ac:dyDescent="0.2">
      <c r="B959" s="120">
        <v>44085</v>
      </c>
      <c r="C959" s="13">
        <v>44074</v>
      </c>
      <c r="D959" s="14"/>
      <c r="E959" s="14"/>
      <c r="F959" s="15" t="s">
        <v>1006</v>
      </c>
      <c r="G959" s="140">
        <f>217500-6500</f>
        <v>211000</v>
      </c>
      <c r="H959" s="16" t="s">
        <v>5</v>
      </c>
      <c r="I959" s="119" t="e">
        <f>IF(Paid[[#This Row],[Currency]]="USD",Paid[[#This Row],[Montant]],Paid[[#This Row],[Montant]]/VLOOKUP(Paid[[#This Row],[Date Paid]],TableCurrencyRate[#All],2,FALSE))</f>
        <v>#N/A</v>
      </c>
    </row>
    <row r="960" spans="2:12" x14ac:dyDescent="0.2">
      <c r="B960" s="120">
        <v>44085</v>
      </c>
      <c r="C960" s="13">
        <v>44078</v>
      </c>
      <c r="D960" s="14"/>
      <c r="E960" s="14"/>
      <c r="F960" s="15" t="s">
        <v>1005</v>
      </c>
      <c r="G960" s="139">
        <f>59000-44000</f>
        <v>15000</v>
      </c>
      <c r="H960" s="16" t="s">
        <v>5</v>
      </c>
      <c r="I960" s="119" t="e">
        <f>IF(Paid[[#This Row],[Currency]]="USD",Paid[[#This Row],[Montant]],Paid[[#This Row],[Montant]]/VLOOKUP(Paid[[#This Row],[Date Paid]],TableCurrencyRate[#All],2,FALSE))</f>
        <v>#N/A</v>
      </c>
    </row>
    <row r="961" spans="2:9" x14ac:dyDescent="0.2">
      <c r="B961" s="120">
        <v>44085</v>
      </c>
      <c r="C961" s="115">
        <v>44084</v>
      </c>
      <c r="D961" s="116"/>
      <c r="E961" s="116" t="s">
        <v>233</v>
      </c>
      <c r="F961" s="117" t="s">
        <v>1017</v>
      </c>
      <c r="G961" s="138">
        <f>82000-6500</f>
        <v>75500</v>
      </c>
      <c r="H961" s="118" t="s">
        <v>5</v>
      </c>
      <c r="I961" s="119" t="e">
        <f>IF(Paid[[#This Row],[Currency]]="USD",Paid[[#This Row],[Montant]],Paid[[#This Row],[Montant]]/VLOOKUP(Paid[[#This Row],[Date Paid]],TableCurrencyRate[#All],2,FALSE))</f>
        <v>#N/A</v>
      </c>
    </row>
    <row r="962" spans="2:9" x14ac:dyDescent="0.2">
      <c r="B962" s="120">
        <v>44085</v>
      </c>
      <c r="C962" s="115">
        <v>44026</v>
      </c>
      <c r="D962" s="116" t="s">
        <v>279</v>
      </c>
      <c r="E962" s="116" t="s">
        <v>813</v>
      </c>
      <c r="F962" s="117" t="s">
        <v>827</v>
      </c>
      <c r="G962" s="138">
        <v>99000</v>
      </c>
      <c r="H962" s="118" t="s">
        <v>5</v>
      </c>
      <c r="I962" s="119" t="e">
        <f>IF(Paid[[#This Row],[Currency]]="USD",Paid[[#This Row],[Montant]],Paid[[#This Row],[Montant]]/VLOOKUP(Paid[[#This Row],[Date Paid]],TableCurrencyRate[#All],2,FALSE))</f>
        <v>#N/A</v>
      </c>
    </row>
    <row r="963" spans="2:9" x14ac:dyDescent="0.2">
      <c r="B963" s="120">
        <v>44085</v>
      </c>
      <c r="C963" s="115">
        <v>44032</v>
      </c>
      <c r="D963" s="116" t="s">
        <v>279</v>
      </c>
      <c r="E963" s="116" t="s">
        <v>813</v>
      </c>
      <c r="F963" s="117" t="s">
        <v>827</v>
      </c>
      <c r="G963" s="138">
        <v>126170</v>
      </c>
      <c r="H963" s="118" t="s">
        <v>5</v>
      </c>
      <c r="I963" s="119" t="e">
        <f>IF(Paid[[#This Row],[Currency]]="USD",Paid[[#This Row],[Montant]],Paid[[#This Row],[Montant]]/VLOOKUP(Paid[[#This Row],[Date Paid]],TableCurrencyRate[#All],2,FALSE))</f>
        <v>#N/A</v>
      </c>
    </row>
    <row r="964" spans="2:9" x14ac:dyDescent="0.2">
      <c r="B964" s="120">
        <v>44085</v>
      </c>
      <c r="C964" s="115">
        <v>44041</v>
      </c>
      <c r="D964" s="116" t="s">
        <v>279</v>
      </c>
      <c r="E964" s="116" t="s">
        <v>813</v>
      </c>
      <c r="F964" s="117" t="s">
        <v>827</v>
      </c>
      <c r="G964" s="138">
        <v>383350</v>
      </c>
      <c r="H964" s="118" t="s">
        <v>5</v>
      </c>
      <c r="I964" s="119" t="e">
        <f>IF(Paid[[#This Row],[Currency]]="USD",Paid[[#This Row],[Montant]],Paid[[#This Row],[Montant]]/VLOOKUP(Paid[[#This Row],[Date Paid]],TableCurrencyRate[#All],2,FALSE))</f>
        <v>#N/A</v>
      </c>
    </row>
    <row r="965" spans="2:9" x14ac:dyDescent="0.2">
      <c r="B965" s="120">
        <v>44085</v>
      </c>
      <c r="C965" s="115">
        <v>44041</v>
      </c>
      <c r="D965" s="116" t="s">
        <v>279</v>
      </c>
      <c r="E965" s="116" t="s">
        <v>813</v>
      </c>
      <c r="F965" s="117" t="s">
        <v>827</v>
      </c>
      <c r="G965" s="138">
        <v>383350</v>
      </c>
      <c r="H965" s="118" t="s">
        <v>5</v>
      </c>
      <c r="I965" s="119" t="e">
        <f>IF(Paid[[#This Row],[Currency]]="USD",Paid[[#This Row],[Montant]],Paid[[#This Row],[Montant]]/VLOOKUP(Paid[[#This Row],[Date Paid]],TableCurrencyRate[#All],2,FALSE))</f>
        <v>#N/A</v>
      </c>
    </row>
    <row r="966" spans="2:9" x14ac:dyDescent="0.2">
      <c r="B966" s="120">
        <v>44088</v>
      </c>
      <c r="C966" s="13">
        <v>44075</v>
      </c>
      <c r="D966" s="14" t="s">
        <v>298</v>
      </c>
      <c r="E966" s="14"/>
      <c r="F966" s="15" t="s">
        <v>1004</v>
      </c>
      <c r="G966" s="139">
        <v>50000</v>
      </c>
      <c r="H966" s="16" t="s">
        <v>5</v>
      </c>
      <c r="I966" s="119" t="e">
        <f>IF(Paid[[#This Row],[Currency]]="USD",Paid[[#This Row],[Montant]],Paid[[#This Row],[Montant]]/VLOOKUP(Paid[[#This Row],[Date Paid]],TableCurrencyRate[#All],2,FALSE))</f>
        <v>#N/A</v>
      </c>
    </row>
    <row r="967" spans="2:9" x14ac:dyDescent="0.2">
      <c r="B967" s="114">
        <v>44096</v>
      </c>
      <c r="C967" s="115">
        <v>44071</v>
      </c>
      <c r="D967" s="116"/>
      <c r="E967" s="116"/>
      <c r="F967" s="117" t="s">
        <v>40</v>
      </c>
      <c r="G967" s="138">
        <v>490000</v>
      </c>
      <c r="H967" s="118" t="s">
        <v>5</v>
      </c>
      <c r="I967" s="119" t="e">
        <f>IF(Paid[[#This Row],[Currency]]="USD",Paid[[#This Row],[Montant]],Paid[[#This Row],[Montant]]/VLOOKUP(Paid[[#This Row],[Date Paid]],TableCurrencyRate[#All],2,FALSE))</f>
        <v>#N/A</v>
      </c>
    </row>
    <row r="968" spans="2:9" x14ac:dyDescent="0.2">
      <c r="B968" s="114">
        <v>44096</v>
      </c>
      <c r="C968" s="115">
        <v>44049</v>
      </c>
      <c r="D968" s="116"/>
      <c r="E968" s="116"/>
      <c r="F968" s="11" t="s">
        <v>1018</v>
      </c>
      <c r="G968" s="137">
        <v>553078</v>
      </c>
      <c r="H968" s="118" t="s">
        <v>5</v>
      </c>
      <c r="I968" s="119" t="e">
        <f>IF(Paid[[#This Row],[Currency]]="USD",Paid[[#This Row],[Montant]],Paid[[#This Row],[Montant]]/VLOOKUP(Paid[[#This Row],[Date Paid]],TableCurrencyRate[#All],2,FALSE))</f>
        <v>#N/A</v>
      </c>
    </row>
    <row r="969" spans="2:9" x14ac:dyDescent="0.2">
      <c r="B969" s="120">
        <v>44096</v>
      </c>
      <c r="C969" s="115">
        <v>44020</v>
      </c>
      <c r="D969" s="116"/>
      <c r="E969" s="116"/>
      <c r="F969" s="11" t="s">
        <v>1010</v>
      </c>
      <c r="G969" s="137">
        <v>586250</v>
      </c>
      <c r="H969" s="118" t="s">
        <v>5</v>
      </c>
      <c r="I969" s="119" t="e">
        <f>IF(Paid[[#This Row],[Currency]]="USD",Paid[[#This Row],[Montant]],Paid[[#This Row],[Montant]]/VLOOKUP(Paid[[#This Row],[Date Paid]],TableCurrencyRate[#All],2,FALSE))</f>
        <v>#N/A</v>
      </c>
    </row>
    <row r="970" spans="2:9" x14ac:dyDescent="0.2">
      <c r="B970" s="114">
        <v>44096</v>
      </c>
      <c r="C970" s="13">
        <v>44089</v>
      </c>
      <c r="D970" s="14"/>
      <c r="E970" s="14"/>
      <c r="F970" s="15" t="s">
        <v>1007</v>
      </c>
      <c r="G970" s="139">
        <v>571250</v>
      </c>
      <c r="H970" s="16" t="s">
        <v>5</v>
      </c>
      <c r="I970" s="119" t="e">
        <f>IF(Paid[[#This Row],[Currency]]="USD",Paid[[#This Row],[Montant]],Paid[[#This Row],[Montant]]/VLOOKUP(Paid[[#This Row],[Date Paid]],TableCurrencyRate[#All],2,FALSE))</f>
        <v>#N/A</v>
      </c>
    </row>
    <row r="971" spans="2:9" x14ac:dyDescent="0.2">
      <c r="B971" s="120">
        <v>44096</v>
      </c>
      <c r="C971" s="115">
        <v>44096</v>
      </c>
      <c r="D971" s="116"/>
      <c r="E971" s="116"/>
      <c r="F971" s="11" t="s">
        <v>40</v>
      </c>
      <c r="G971" s="138">
        <f>8200+30000+220000+96000+13600</f>
        <v>367800</v>
      </c>
      <c r="H971" s="18" t="s">
        <v>5</v>
      </c>
      <c r="I971" s="119" t="e">
        <f>IF(Paid[[#This Row],[Currency]]="USD",Paid[[#This Row],[Montant]],Paid[[#This Row],[Montant]]/VLOOKUP(Paid[[#This Row],[Date Paid]],TableCurrencyRate[#All],2,FALSE))</f>
        <v>#N/A</v>
      </c>
    </row>
    <row r="972" spans="2:9" x14ac:dyDescent="0.2">
      <c r="B972" s="114">
        <v>44096</v>
      </c>
      <c r="C972" s="115">
        <v>44096</v>
      </c>
      <c r="D972" s="116"/>
      <c r="E972" s="116"/>
      <c r="F972" s="11" t="s">
        <v>1019</v>
      </c>
      <c r="G972" s="138">
        <f>32000+230000+80000+12000</f>
        <v>354000</v>
      </c>
      <c r="H972" s="18" t="s">
        <v>5</v>
      </c>
      <c r="I972" s="119" t="e">
        <f>IF(Paid[[#This Row],[Currency]]="USD",Paid[[#This Row],[Montant]],Paid[[#This Row],[Montant]]/VLOOKUP(Paid[[#This Row],[Date Paid]],TableCurrencyRate[#All],2,FALSE))</f>
        <v>#N/A</v>
      </c>
    </row>
    <row r="973" spans="2:9" x14ac:dyDescent="0.2">
      <c r="B973" s="120">
        <v>44096</v>
      </c>
      <c r="C973" s="115">
        <v>44096</v>
      </c>
      <c r="D973" s="116"/>
      <c r="E973" s="116"/>
      <c r="F973" s="11" t="s">
        <v>41</v>
      </c>
      <c r="G973" s="138">
        <f>29000+235000+12000</f>
        <v>276000</v>
      </c>
      <c r="H973" s="18" t="s">
        <v>5</v>
      </c>
      <c r="I973" s="119" t="e">
        <f>IF(Paid[[#This Row],[Currency]]="USD",Paid[[#This Row],[Montant]],Paid[[#This Row],[Montant]]/VLOOKUP(Paid[[#This Row],[Date Paid]],TableCurrencyRate[#All],2,FALSE))</f>
        <v>#N/A</v>
      </c>
    </row>
    <row r="974" spans="2:9" x14ac:dyDescent="0.2">
      <c r="B974" s="114">
        <v>44096</v>
      </c>
      <c r="C974" s="115">
        <v>44096</v>
      </c>
      <c r="D974" s="116"/>
      <c r="E974" s="116"/>
      <c r="F974" s="11" t="s">
        <v>1020</v>
      </c>
      <c r="G974" s="138">
        <f>120000+3000</f>
        <v>123000</v>
      </c>
      <c r="H974" s="18" t="s">
        <v>5</v>
      </c>
      <c r="I974" s="119" t="e">
        <f>IF(Paid[[#This Row],[Currency]]="USD",Paid[[#This Row],[Montant]],Paid[[#This Row],[Montant]]/VLOOKUP(Paid[[#This Row],[Date Paid]],TableCurrencyRate[#All],2,FALSE))</f>
        <v>#N/A</v>
      </c>
    </row>
    <row r="975" spans="2:9" x14ac:dyDescent="0.2">
      <c r="B975" s="57">
        <v>44096</v>
      </c>
      <c r="C975" s="9">
        <v>44096</v>
      </c>
      <c r="D975" s="10"/>
      <c r="E975" s="10"/>
      <c r="F975" s="11" t="s">
        <v>1035</v>
      </c>
      <c r="G975" s="141">
        <v>2077968</v>
      </c>
      <c r="H975" s="18" t="s">
        <v>5</v>
      </c>
      <c r="I975" s="19" t="e">
        <f>IF(Paid[[#This Row],[Currency]]="USD",Paid[[#This Row],[Montant]],Paid[[#This Row],[Montant]]/VLOOKUP(Paid[[#This Row],[Date Paid]],TableCurrencyRate[#All],2,FALSE))</f>
        <v>#N/A</v>
      </c>
    </row>
    <row r="976" spans="2:9" x14ac:dyDescent="0.2">
      <c r="B976" s="120">
        <v>44097</v>
      </c>
      <c r="C976" s="115">
        <v>44013</v>
      </c>
      <c r="D976" s="116"/>
      <c r="E976" s="116"/>
      <c r="F976" s="117" t="s">
        <v>999</v>
      </c>
      <c r="G976" s="137">
        <v>19834</v>
      </c>
      <c r="H976" s="118" t="s">
        <v>5</v>
      </c>
      <c r="I976" s="119" t="e">
        <f>IF(Paid[[#This Row],[Currency]]="USD",Paid[[#This Row],[Montant]],Paid[[#This Row],[Montant]]/VLOOKUP(Paid[[#This Row],[Date Paid]],TableCurrencyRate[#All],2,FALSE))</f>
        <v>#N/A</v>
      </c>
    </row>
    <row r="977" spans="2:9" x14ac:dyDescent="0.2">
      <c r="B977" s="120">
        <v>44097</v>
      </c>
      <c r="C977" s="115">
        <v>44097</v>
      </c>
      <c r="D977" s="116"/>
      <c r="E977" s="116"/>
      <c r="F977" s="11" t="s">
        <v>1022</v>
      </c>
      <c r="G977" s="137">
        <v>346700</v>
      </c>
      <c r="H977" s="18" t="s">
        <v>5</v>
      </c>
      <c r="I977" s="119" t="e">
        <f>IF(Paid[[#This Row],[Currency]]="USD",Paid[[#This Row],[Montant]],Paid[[#This Row],[Montant]]/VLOOKUP(Paid[[#This Row],[Date Paid]],TableCurrencyRate[#All],2,FALSE))</f>
        <v>#N/A</v>
      </c>
    </row>
    <row r="978" spans="2:9" x14ac:dyDescent="0.2">
      <c r="B978" s="120">
        <v>44097</v>
      </c>
      <c r="C978" s="115">
        <v>44097</v>
      </c>
      <c r="D978" s="116"/>
      <c r="E978" s="116"/>
      <c r="F978" s="11" t="s">
        <v>167</v>
      </c>
      <c r="G978" s="137">
        <v>300000</v>
      </c>
      <c r="H978" s="18" t="s">
        <v>5</v>
      </c>
      <c r="I978" s="119" t="e">
        <f>IF(Paid[[#This Row],[Currency]]="USD",Paid[[#This Row],[Montant]],Paid[[#This Row],[Montant]]/VLOOKUP(Paid[[#This Row],[Date Paid]],TableCurrencyRate[#All],2,FALSE))</f>
        <v>#N/A</v>
      </c>
    </row>
    <row r="979" spans="2:9" x14ac:dyDescent="0.2">
      <c r="B979" s="120">
        <v>44097</v>
      </c>
      <c r="C979" s="115">
        <v>44097</v>
      </c>
      <c r="D979" s="116"/>
      <c r="E979" s="116"/>
      <c r="F979" s="11" t="s">
        <v>1023</v>
      </c>
      <c r="G979" s="137">
        <v>400</v>
      </c>
      <c r="H979" s="18" t="s">
        <v>6</v>
      </c>
      <c r="I979" s="119">
        <f>IF(Paid[[#This Row],[Currency]]="USD",Paid[[#This Row],[Montant]],Paid[[#This Row],[Montant]]/VLOOKUP(Paid[[#This Row],[Date Paid]],TableCurrencyRate[#All],2,FALSE))</f>
        <v>400</v>
      </c>
    </row>
    <row r="980" spans="2:9" x14ac:dyDescent="0.2">
      <c r="B980" s="120">
        <v>44097</v>
      </c>
      <c r="C980" s="115">
        <v>44055</v>
      </c>
      <c r="D980" s="116" t="s">
        <v>46</v>
      </c>
      <c r="E980" s="116"/>
      <c r="F980" s="117" t="s">
        <v>955</v>
      </c>
      <c r="G980" s="138">
        <v>161000</v>
      </c>
      <c r="H980" s="118" t="s">
        <v>5</v>
      </c>
      <c r="I980" s="119" t="e">
        <f>IF(Paid[[#This Row],[Currency]]="USD",Paid[[#This Row],[Montant]],Paid[[#This Row],[Montant]]/VLOOKUP(Paid[[#This Row],[Date Paid]],TableCurrencyRate[#All],2,FALSE))</f>
        <v>#N/A</v>
      </c>
    </row>
    <row r="981" spans="2:9" x14ac:dyDescent="0.2">
      <c r="B981" s="120">
        <v>44097</v>
      </c>
      <c r="C981" s="115">
        <v>43960</v>
      </c>
      <c r="D981" s="116" t="s">
        <v>46</v>
      </c>
      <c r="E981" s="116"/>
      <c r="F981" s="117" t="s">
        <v>829</v>
      </c>
      <c r="G981" s="138">
        <f>6*2000*11</f>
        <v>132000</v>
      </c>
      <c r="H981" s="118" t="s">
        <v>5</v>
      </c>
      <c r="I981" s="119" t="e">
        <f>IF(Paid[[#This Row],[Currency]]="USD",Paid[[#This Row],[Montant]],Paid[[#This Row],[Montant]]/VLOOKUP(Paid[[#This Row],[Date Paid]],TableCurrencyRate[#All],2,FALSE))</f>
        <v>#N/A</v>
      </c>
    </row>
    <row r="982" spans="2:9" x14ac:dyDescent="0.2">
      <c r="B982" s="120">
        <v>44097</v>
      </c>
      <c r="C982" s="9">
        <v>44097</v>
      </c>
      <c r="D982" s="116"/>
      <c r="E982" s="116"/>
      <c r="F982" s="11" t="s">
        <v>1024</v>
      </c>
      <c r="G982" s="141">
        <f>7597850+71250</f>
        <v>7669100</v>
      </c>
      <c r="H982" s="18" t="s">
        <v>5</v>
      </c>
      <c r="I982" s="119" t="e">
        <f>IF(Paid[[#This Row],[Currency]]="USD",Paid[[#This Row],[Montant]],Paid[[#This Row],[Montant]]/VLOOKUP(Paid[[#This Row],[Date Paid]],TableCurrencyRate[#All],2,FALSE))</f>
        <v>#N/A</v>
      </c>
    </row>
    <row r="983" spans="2:9" x14ac:dyDescent="0.2">
      <c r="B983" s="120">
        <v>44098</v>
      </c>
      <c r="C983" s="115">
        <v>44098</v>
      </c>
      <c r="D983" s="116"/>
      <c r="E983" s="116"/>
      <c r="F983" s="11" t="s">
        <v>1025</v>
      </c>
      <c r="G983" s="137">
        <v>3192500</v>
      </c>
      <c r="H983" s="18" t="s">
        <v>5</v>
      </c>
      <c r="I983" s="119" t="e">
        <f>IF(Paid[[#This Row],[Currency]]="USD",Paid[[#This Row],[Montant]],Paid[[#This Row],[Montant]]/VLOOKUP(Paid[[#This Row],[Date Paid]],TableCurrencyRate[#All],2,FALSE))</f>
        <v>#N/A</v>
      </c>
    </row>
    <row r="984" spans="2:9" x14ac:dyDescent="0.2">
      <c r="B984" s="120">
        <v>44098</v>
      </c>
      <c r="C984" s="115">
        <v>44098</v>
      </c>
      <c r="D984" s="116"/>
      <c r="E984" s="116"/>
      <c r="F984" s="11" t="s">
        <v>170</v>
      </c>
      <c r="G984" s="137">
        <f>23*20000</f>
        <v>460000</v>
      </c>
      <c r="H984" s="18" t="s">
        <v>5</v>
      </c>
      <c r="I984" s="119" t="e">
        <f>IF(Paid[[#This Row],[Currency]]="USD",Paid[[#This Row],[Montant]],Paid[[#This Row],[Montant]]/VLOOKUP(Paid[[#This Row],[Date Paid]],TableCurrencyRate[#All],2,FALSE))</f>
        <v>#N/A</v>
      </c>
    </row>
    <row r="985" spans="2:9" x14ac:dyDescent="0.2">
      <c r="B985" s="120">
        <v>44099</v>
      </c>
      <c r="C985" s="13">
        <v>43916</v>
      </c>
      <c r="D985" s="14" t="s">
        <v>9</v>
      </c>
      <c r="E985" s="14" t="s">
        <v>624</v>
      </c>
      <c r="F985" s="15" t="s">
        <v>807</v>
      </c>
      <c r="G985" s="90">
        <v>4988.82</v>
      </c>
      <c r="H985" s="16" t="s">
        <v>6</v>
      </c>
      <c r="I985" s="119">
        <f>IF(Paid[[#This Row],[Currency]]="USD",Paid[[#This Row],[Montant]],Paid[[#This Row],[Montant]]/VLOOKUP(Paid[[#This Row],[Date Paid]],TableCurrencyRate[#All],2,FALSE))</f>
        <v>4988.82</v>
      </c>
    </row>
    <row r="986" spans="2:9" x14ac:dyDescent="0.2">
      <c r="B986" s="120">
        <v>44099</v>
      </c>
      <c r="C986" s="13">
        <v>43889</v>
      </c>
      <c r="D986" s="14" t="s">
        <v>9</v>
      </c>
      <c r="E986" s="14" t="s">
        <v>820</v>
      </c>
      <c r="F986" s="15" t="s">
        <v>821</v>
      </c>
      <c r="G986" s="90">
        <v>187175.1</v>
      </c>
      <c r="H986" s="16" t="s">
        <v>5</v>
      </c>
      <c r="I986" s="119" t="e">
        <f>IF(Paid[[#This Row],[Currency]]="USD",Paid[[#This Row],[Montant]],Paid[[#This Row],[Montant]]/VLOOKUP(Paid[[#This Row],[Date Paid]],TableCurrencyRate[#All],2,FALSE))</f>
        <v>#N/A</v>
      </c>
    </row>
    <row r="987" spans="2:9" x14ac:dyDescent="0.2">
      <c r="B987" s="12">
        <v>44099</v>
      </c>
      <c r="C987" s="9">
        <v>44099</v>
      </c>
      <c r="D987" s="10" t="s">
        <v>9</v>
      </c>
      <c r="E987" s="10" t="s">
        <v>1036</v>
      </c>
      <c r="F987" s="11" t="s">
        <v>1037</v>
      </c>
      <c r="G987" s="141">
        <v>274.83999999999997</v>
      </c>
      <c r="H987" s="18" t="s">
        <v>6</v>
      </c>
      <c r="I987" s="19">
        <f>IF(Paid[[#This Row],[Currency]]="USD",Paid[[#This Row],[Montant]],Paid[[#This Row],[Montant]]/VLOOKUP(Paid[[#This Row],[Date Paid]],TableCurrencyRate[#All],2,FALSE))</f>
        <v>274.83999999999997</v>
      </c>
    </row>
    <row r="988" spans="2:9" x14ac:dyDescent="0.2">
      <c r="B988" s="12">
        <v>44096</v>
      </c>
      <c r="C988" s="9">
        <v>44096</v>
      </c>
      <c r="D988" s="10"/>
      <c r="E988" s="10"/>
      <c r="F988" s="11" t="s">
        <v>1044</v>
      </c>
      <c r="G988" s="150">
        <f>155100*2</f>
        <v>310200</v>
      </c>
      <c r="H988" s="18" t="s">
        <v>5</v>
      </c>
      <c r="I988" s="19" t="e">
        <f>IF(Paid[[#This Row],[Currency]]="USD",Paid[[#This Row],[Montant]],Paid[[#This Row],[Montant]]/VLOOKUP(Paid[[#This Row],[Date Paid]],TableCurrencyRate[#All],2,FALSE))</f>
        <v>#N/A</v>
      </c>
    </row>
    <row r="989" spans="2:9" x14ac:dyDescent="0.2">
      <c r="B989" s="151">
        <v>44108</v>
      </c>
      <c r="C989" s="152">
        <v>44103</v>
      </c>
      <c r="D989" s="153" t="s">
        <v>1073</v>
      </c>
      <c r="E989" s="153"/>
      <c r="F989" s="154" t="s">
        <v>1071</v>
      </c>
      <c r="G989" s="167">
        <v>633.58000000000004</v>
      </c>
      <c r="H989" s="155" t="s">
        <v>6</v>
      </c>
      <c r="I989" s="156">
        <f>IF(Paid[[#This Row],[Currency]]="USD",Paid[[#This Row],[Montant]],Paid[[#This Row],[Montant]]/VLOOKUP(Paid[[#This Row],[Date Paid]],TableCurrencyRate[#All],2,FALSE))</f>
        <v>633.58000000000004</v>
      </c>
    </row>
    <row r="990" spans="2:9" x14ac:dyDescent="0.2">
      <c r="B990" s="157">
        <v>44108</v>
      </c>
      <c r="C990" s="152">
        <v>44103</v>
      </c>
      <c r="D990" s="153" t="s">
        <v>1073</v>
      </c>
      <c r="E990" s="153"/>
      <c r="F990" s="154" t="s">
        <v>1072</v>
      </c>
      <c r="G990" s="167">
        <v>4411.5600000000004</v>
      </c>
      <c r="H990" s="155" t="s">
        <v>6</v>
      </c>
      <c r="I990" s="156">
        <f>IF(Paid[[#This Row],[Currency]]="USD",Paid[[#This Row],[Montant]],Paid[[#This Row],[Montant]]/VLOOKUP(Paid[[#This Row],[Date Paid]],TableCurrencyRate[#All],2,FALSE))</f>
        <v>4411.5600000000004</v>
      </c>
    </row>
    <row r="991" spans="2:9" x14ac:dyDescent="0.2">
      <c r="B991" s="12">
        <v>44116</v>
      </c>
      <c r="C991" s="13">
        <v>43742</v>
      </c>
      <c r="D991" s="14" t="s">
        <v>46</v>
      </c>
      <c r="E991" s="14"/>
      <c r="F991" s="15" t="s">
        <v>221</v>
      </c>
      <c r="G991" s="168">
        <v>497</v>
      </c>
      <c r="H991" s="16" t="s">
        <v>6</v>
      </c>
      <c r="I991" s="19">
        <f>IF(Paid[[#This Row],[Currency]]="USD",Paid[[#This Row],[Montant]],Paid[[#This Row],[Montant]]/VLOOKUP(Paid[[#This Row],[Date Paid]],TableCurrencyRate[#All],2,FALSE))</f>
        <v>497</v>
      </c>
    </row>
    <row r="992" spans="2:9" x14ac:dyDescent="0.2">
      <c r="B992" s="12">
        <v>44116</v>
      </c>
      <c r="C992" s="13">
        <v>43539</v>
      </c>
      <c r="D992" s="14" t="s">
        <v>46</v>
      </c>
      <c r="E992" s="14"/>
      <c r="F992" s="15" t="s">
        <v>310</v>
      </c>
      <c r="G992" s="169">
        <v>530</v>
      </c>
      <c r="H992" s="16" t="s">
        <v>6</v>
      </c>
      <c r="I992" s="19">
        <f>IF(Paid[[#This Row],[Currency]]="USD",Paid[[#This Row],[Montant]],Paid[[#This Row],[Montant]]/VLOOKUP(Paid[[#This Row],[Date Paid]],TableCurrencyRate[#All],2,FALSE))</f>
        <v>530</v>
      </c>
    </row>
    <row r="993" spans="2:12" x14ac:dyDescent="0.2">
      <c r="B993" s="12">
        <v>44116</v>
      </c>
      <c r="C993" s="9">
        <v>43986</v>
      </c>
      <c r="D993" s="10" t="s">
        <v>46</v>
      </c>
      <c r="E993" s="10"/>
      <c r="F993" s="11" t="s">
        <v>833</v>
      </c>
      <c r="G993" s="122">
        <v>600</v>
      </c>
      <c r="H993" s="18" t="s">
        <v>6</v>
      </c>
      <c r="I993" s="19">
        <f>IF(Paid[[#This Row],[Currency]]="USD",Paid[[#This Row],[Montant]],Paid[[#This Row],[Montant]]/VLOOKUP(Paid[[#This Row],[Date Paid]],TableCurrencyRate[#All],2,FALSE))</f>
        <v>600</v>
      </c>
    </row>
    <row r="994" spans="2:12" x14ac:dyDescent="0.2">
      <c r="B994" s="12">
        <v>44116</v>
      </c>
      <c r="C994" s="13">
        <v>43985</v>
      </c>
      <c r="D994" s="14" t="s">
        <v>46</v>
      </c>
      <c r="E994" s="14"/>
      <c r="F994" s="15" t="s">
        <v>832</v>
      </c>
      <c r="G994" s="170">
        <v>520000</v>
      </c>
      <c r="H994" s="16" t="s">
        <v>5</v>
      </c>
      <c r="I994" s="19" t="e">
        <f>IF(Paid[[#This Row],[Currency]]="USD",Paid[[#This Row],[Montant]],Paid[[#This Row],[Montant]]/VLOOKUP(Paid[[#This Row],[Date Paid]],TableCurrencyRate[#All],2,FALSE))</f>
        <v>#N/A</v>
      </c>
    </row>
    <row r="995" spans="2:12" x14ac:dyDescent="0.2">
      <c r="B995" s="12">
        <v>44126</v>
      </c>
      <c r="C995" s="9">
        <v>44126</v>
      </c>
      <c r="D995" s="10"/>
      <c r="E995" s="10"/>
      <c r="F995" s="11" t="s">
        <v>1081</v>
      </c>
      <c r="G995" s="123">
        <v>14900</v>
      </c>
      <c r="H995" s="18" t="s">
        <v>5</v>
      </c>
      <c r="I995" s="19" t="e">
        <f>IF(Paid[[#This Row],[Currency]]="USD",Paid[[#This Row],[Montant]],Paid[[#This Row],[Montant]]/VLOOKUP(Paid[[#This Row],[Date Paid]],TableCurrencyRate[#All],2,FALSE))</f>
        <v>#N/A</v>
      </c>
      <c r="K995" t="s">
        <v>1098</v>
      </c>
    </row>
    <row r="996" spans="2:12" x14ac:dyDescent="0.2">
      <c r="B996" s="12">
        <v>44126</v>
      </c>
      <c r="C996" s="9">
        <v>44126</v>
      </c>
      <c r="D996" s="10"/>
      <c r="E996" s="10" t="s">
        <v>836</v>
      </c>
      <c r="F996" s="11" t="s">
        <v>1082</v>
      </c>
      <c r="G996" s="122">
        <v>182550</v>
      </c>
      <c r="H996" s="18" t="s">
        <v>5</v>
      </c>
      <c r="I996" s="19" t="e">
        <f>IF(Paid[[#This Row],[Currency]]="USD",Paid[[#This Row],[Montant]],Paid[[#This Row],[Montant]]/VLOOKUP(Paid[[#This Row],[Date Paid]],TableCurrencyRate[#All],2,FALSE))</f>
        <v>#N/A</v>
      </c>
      <c r="K996" s="20">
        <f>806000/1300+G991+G992</f>
        <v>1647</v>
      </c>
      <c r="L996" t="s">
        <v>1026</v>
      </c>
    </row>
    <row r="997" spans="2:12" x14ac:dyDescent="0.2">
      <c r="B997" s="12">
        <v>44126</v>
      </c>
      <c r="C997" s="9">
        <v>44126</v>
      </c>
      <c r="D997" s="10"/>
      <c r="E997" s="10" t="s">
        <v>911</v>
      </c>
      <c r="F997" s="11" t="s">
        <v>1083</v>
      </c>
      <c r="G997" s="122">
        <v>206500</v>
      </c>
      <c r="H997" s="18" t="s">
        <v>5</v>
      </c>
      <c r="I997" s="19" t="e">
        <f>IF(Paid[[#This Row],[Currency]]="USD",Paid[[#This Row],[Montant]],Paid[[#This Row],[Montant]]/VLOOKUP(Paid[[#This Row],[Date Paid]],TableCurrencyRate[#All],2,FALSE))</f>
        <v>#N/A</v>
      </c>
      <c r="K997" s="20">
        <f>2708100/1300+G989+G990</f>
        <v>7128.293846153847</v>
      </c>
      <c r="L997" t="s">
        <v>1029</v>
      </c>
    </row>
    <row r="998" spans="2:12" x14ac:dyDescent="0.2">
      <c r="B998" s="12">
        <v>44126</v>
      </c>
      <c r="C998" s="9">
        <v>44126</v>
      </c>
      <c r="D998" s="10"/>
      <c r="E998" s="10" t="s">
        <v>813</v>
      </c>
      <c r="F998" s="11" t="s">
        <v>1084</v>
      </c>
      <c r="G998" s="122">
        <v>86850</v>
      </c>
      <c r="H998" s="18" t="s">
        <v>5</v>
      </c>
      <c r="I998" s="19" t="e">
        <f>IF(Paid[[#This Row],[Currency]]="USD",Paid[[#This Row],[Montant]],Paid[[#This Row],[Montant]]/VLOOKUP(Paid[[#This Row],[Date Paid]],TableCurrencyRate[#All],2,FALSE))</f>
        <v>#N/A</v>
      </c>
    </row>
    <row r="999" spans="2:12" x14ac:dyDescent="0.2">
      <c r="B999" s="12">
        <v>44126</v>
      </c>
      <c r="C999" s="9">
        <v>44126</v>
      </c>
      <c r="D999" s="10"/>
      <c r="E999" s="10"/>
      <c r="F999" s="11" t="s">
        <v>1085</v>
      </c>
      <c r="G999" s="122">
        <v>50200</v>
      </c>
      <c r="H999" s="18" t="s">
        <v>5</v>
      </c>
      <c r="I999" s="19" t="e">
        <f>IF(Paid[[#This Row],[Currency]]="USD",Paid[[#This Row],[Montant]],Paid[[#This Row],[Montant]]/VLOOKUP(Paid[[#This Row],[Date Paid]],TableCurrencyRate[#All],2,FALSE))</f>
        <v>#N/A</v>
      </c>
    </row>
    <row r="1000" spans="2:12" x14ac:dyDescent="0.2">
      <c r="B1000" s="12">
        <v>44127</v>
      </c>
      <c r="C1000" s="13">
        <v>43956</v>
      </c>
      <c r="D1000" s="14"/>
      <c r="E1000" s="14"/>
      <c r="F1000" s="15" t="s">
        <v>1059</v>
      </c>
      <c r="G1000" s="78">
        <v>37200</v>
      </c>
      <c r="H1000" s="16" t="s">
        <v>5</v>
      </c>
      <c r="I1000" s="19" t="e">
        <f>IF(Paid[[#This Row],[Currency]]="USD",Paid[[#This Row],[Montant]],Paid[[#This Row],[Montant]]/VLOOKUP(Paid[[#This Row],[Date Paid]],TableCurrencyRate[#All],2,FALSE))</f>
        <v>#N/A</v>
      </c>
    </row>
    <row r="1001" spans="2:12" x14ac:dyDescent="0.2">
      <c r="B1001" s="12">
        <v>44127</v>
      </c>
      <c r="C1001" s="9">
        <v>44056</v>
      </c>
      <c r="D1001" s="10"/>
      <c r="E1001" s="10"/>
      <c r="F1001" s="11" t="s">
        <v>1086</v>
      </c>
      <c r="G1001" s="123">
        <v>22000</v>
      </c>
      <c r="H1001" s="18" t="s">
        <v>5</v>
      </c>
      <c r="I1001" s="19" t="e">
        <f>IF(Paid[[#This Row],[Currency]]="USD",Paid[[#This Row],[Montant]],Paid[[#This Row],[Montant]]/VLOOKUP(Paid[[#This Row],[Date Paid]],TableCurrencyRate[#All],2,FALSE))</f>
        <v>#N/A</v>
      </c>
    </row>
    <row r="1002" spans="2:12" x14ac:dyDescent="0.2">
      <c r="B1002" s="12">
        <v>44127</v>
      </c>
      <c r="C1002" s="9">
        <v>44056</v>
      </c>
      <c r="D1002" s="10"/>
      <c r="E1002" s="10"/>
      <c r="F1002" s="11" t="s">
        <v>1069</v>
      </c>
      <c r="G1002" s="123">
        <v>44200</v>
      </c>
      <c r="H1002" s="18" t="s">
        <v>5</v>
      </c>
      <c r="I1002" s="19" t="e">
        <f>IF(Paid[[#This Row],[Currency]]="USD",Paid[[#This Row],[Montant]],Paid[[#This Row],[Montant]]/VLOOKUP(Paid[[#This Row],[Date Paid]],TableCurrencyRate[#All],2,FALSE))</f>
        <v>#N/A</v>
      </c>
    </row>
    <row r="1003" spans="2:12" x14ac:dyDescent="0.2">
      <c r="B1003" s="12">
        <v>44127</v>
      </c>
      <c r="C1003" s="13">
        <v>43916</v>
      </c>
      <c r="D1003" s="14"/>
      <c r="E1003" s="14"/>
      <c r="F1003" s="15" t="s">
        <v>856</v>
      </c>
      <c r="G1003" s="78">
        <v>10900</v>
      </c>
      <c r="H1003" s="16" t="s">
        <v>5</v>
      </c>
      <c r="I1003" s="19" t="e">
        <f>IF(Paid[[#This Row],[Currency]]="USD",Paid[[#This Row],[Montant]],Paid[[#This Row],[Montant]]/VLOOKUP(Paid[[#This Row],[Date Paid]],TableCurrencyRate[#All],2,FALSE))</f>
        <v>#N/A</v>
      </c>
    </row>
    <row r="1004" spans="2:12" x14ac:dyDescent="0.2">
      <c r="B1004" s="12">
        <v>44127</v>
      </c>
      <c r="C1004" s="13">
        <v>44015</v>
      </c>
      <c r="D1004" s="14"/>
      <c r="E1004" s="14"/>
      <c r="F1004" s="15" t="s">
        <v>1065</v>
      </c>
      <c r="G1004" s="78">
        <v>18000</v>
      </c>
      <c r="H1004" s="16" t="s">
        <v>5</v>
      </c>
      <c r="I1004" s="19" t="e">
        <f>IF(Paid[[#This Row],[Currency]]="USD",Paid[[#This Row],[Montant]],Paid[[#This Row],[Montant]]/VLOOKUP(Paid[[#This Row],[Date Paid]],TableCurrencyRate[#All],2,FALSE))</f>
        <v>#N/A</v>
      </c>
    </row>
    <row r="1005" spans="2:12" x14ac:dyDescent="0.2">
      <c r="B1005" s="12">
        <v>44127</v>
      </c>
      <c r="C1005" s="13">
        <v>43916</v>
      </c>
      <c r="D1005" s="14"/>
      <c r="E1005" s="14"/>
      <c r="F1005" s="15" t="s">
        <v>855</v>
      </c>
      <c r="G1005" s="78">
        <v>10900</v>
      </c>
      <c r="H1005" s="16" t="s">
        <v>5</v>
      </c>
      <c r="I1005" s="19" t="e">
        <f>IF(Paid[[#This Row],[Currency]]="USD",Paid[[#This Row],[Montant]],Paid[[#This Row],[Montant]]/VLOOKUP(Paid[[#This Row],[Date Paid]],TableCurrencyRate[#All],2,FALSE))</f>
        <v>#N/A</v>
      </c>
    </row>
    <row r="1006" spans="2:12" x14ac:dyDescent="0.2">
      <c r="B1006" s="12">
        <v>44127</v>
      </c>
      <c r="C1006" s="13">
        <v>44015</v>
      </c>
      <c r="D1006" s="14"/>
      <c r="E1006" s="14"/>
      <c r="F1006" s="15" t="s">
        <v>1063</v>
      </c>
      <c r="G1006" s="78">
        <v>12000</v>
      </c>
      <c r="H1006" s="16" t="s">
        <v>5</v>
      </c>
      <c r="I1006" s="19" t="e">
        <f>IF(Paid[[#This Row],[Currency]]="USD",Paid[[#This Row],[Montant]],Paid[[#This Row],[Montant]]/VLOOKUP(Paid[[#This Row],[Date Paid]],TableCurrencyRate[#All],2,FALSE))</f>
        <v>#N/A</v>
      </c>
    </row>
    <row r="1007" spans="2:12" x14ac:dyDescent="0.2">
      <c r="B1007" s="12">
        <v>44127</v>
      </c>
      <c r="C1007" s="13">
        <v>43916</v>
      </c>
      <c r="D1007" s="14"/>
      <c r="E1007" s="14"/>
      <c r="F1007" s="15" t="s">
        <v>854</v>
      </c>
      <c r="G1007" s="78">
        <v>9900</v>
      </c>
      <c r="H1007" s="16" t="s">
        <v>5</v>
      </c>
      <c r="I1007" s="19" t="e">
        <f>IF(Paid[[#This Row],[Currency]]="USD",Paid[[#This Row],[Montant]],Paid[[#This Row],[Montant]]/VLOOKUP(Paid[[#This Row],[Date Paid]],TableCurrencyRate[#All],2,FALSE))</f>
        <v>#N/A</v>
      </c>
    </row>
    <row r="1008" spans="2:12" x14ac:dyDescent="0.2">
      <c r="B1008" s="12">
        <v>44127</v>
      </c>
      <c r="C1008" s="13">
        <v>44015</v>
      </c>
      <c r="D1008" s="14"/>
      <c r="E1008" s="14"/>
      <c r="F1008" s="15" t="s">
        <v>1064</v>
      </c>
      <c r="G1008" s="78">
        <v>12000</v>
      </c>
      <c r="H1008" s="16" t="s">
        <v>5</v>
      </c>
      <c r="I1008" s="19" t="e">
        <f>IF(Paid[[#This Row],[Currency]]="USD",Paid[[#This Row],[Montant]],Paid[[#This Row],[Montant]]/VLOOKUP(Paid[[#This Row],[Date Paid]],TableCurrencyRate[#All],2,FALSE))</f>
        <v>#N/A</v>
      </c>
    </row>
    <row r="1009" spans="2:9" x14ac:dyDescent="0.2">
      <c r="B1009" s="12">
        <v>44127</v>
      </c>
      <c r="C1009" s="13">
        <v>44056</v>
      </c>
      <c r="D1009" s="14"/>
      <c r="E1009" s="14"/>
      <c r="F1009" s="15" t="s">
        <v>1067</v>
      </c>
      <c r="G1009" s="78">
        <v>13400</v>
      </c>
      <c r="H1009" s="16" t="s">
        <v>5</v>
      </c>
      <c r="I1009" s="19" t="e">
        <f>IF(Paid[[#This Row],[Currency]]="USD",Paid[[#This Row],[Montant]],Paid[[#This Row],[Montant]]/VLOOKUP(Paid[[#This Row],[Date Paid]],TableCurrencyRate[#All],2,FALSE))</f>
        <v>#N/A</v>
      </c>
    </row>
    <row r="1010" spans="2:9" x14ac:dyDescent="0.2">
      <c r="B1010" s="12">
        <v>44127</v>
      </c>
      <c r="C1010" s="13">
        <v>43916</v>
      </c>
      <c r="D1010" s="14"/>
      <c r="E1010" s="14"/>
      <c r="F1010" s="15" t="s">
        <v>1058</v>
      </c>
      <c r="G1010" s="78">
        <v>9500</v>
      </c>
      <c r="H1010" s="16" t="s">
        <v>5</v>
      </c>
      <c r="I1010" s="19" t="e">
        <f>IF(Paid[[#This Row],[Currency]]="USD",Paid[[#This Row],[Montant]],Paid[[#This Row],[Montant]]/VLOOKUP(Paid[[#This Row],[Date Paid]],TableCurrencyRate[#All],2,FALSE))</f>
        <v>#N/A</v>
      </c>
    </row>
    <row r="1011" spans="2:9" x14ac:dyDescent="0.2">
      <c r="B1011" s="12">
        <v>44127</v>
      </c>
      <c r="C1011" s="13">
        <v>43916</v>
      </c>
      <c r="D1011" s="14"/>
      <c r="E1011" s="14"/>
      <c r="F1011" s="15" t="s">
        <v>1087</v>
      </c>
      <c r="G1011" s="78">
        <v>17500</v>
      </c>
      <c r="H1011" s="16" t="s">
        <v>5</v>
      </c>
      <c r="I1011" s="19" t="e">
        <f>IF(Paid[[#This Row],[Currency]]="USD",Paid[[#This Row],[Montant]],Paid[[#This Row],[Montant]]/VLOOKUP(Paid[[#This Row],[Date Paid]],TableCurrencyRate[#All],2,FALSE))</f>
        <v>#N/A</v>
      </c>
    </row>
    <row r="1012" spans="2:9" x14ac:dyDescent="0.2">
      <c r="B1012" s="12">
        <v>44127</v>
      </c>
      <c r="C1012" s="13">
        <v>43916</v>
      </c>
      <c r="D1012" s="14"/>
      <c r="E1012" s="14"/>
      <c r="F1012" s="15" t="s">
        <v>857</v>
      </c>
      <c r="G1012" s="78">
        <v>9700</v>
      </c>
      <c r="H1012" s="16" t="s">
        <v>5</v>
      </c>
      <c r="I1012" s="19" t="e">
        <f>IF(Paid[[#This Row],[Currency]]="USD",Paid[[#This Row],[Montant]],Paid[[#This Row],[Montant]]/VLOOKUP(Paid[[#This Row],[Date Paid]],TableCurrencyRate[#All],2,FALSE))</f>
        <v>#N/A</v>
      </c>
    </row>
    <row r="1013" spans="2:9" x14ac:dyDescent="0.2">
      <c r="B1013" s="12">
        <v>44127</v>
      </c>
      <c r="C1013" s="9">
        <v>44015</v>
      </c>
      <c r="D1013" s="10"/>
      <c r="E1013" s="10"/>
      <c r="F1013" s="11" t="s">
        <v>1062</v>
      </c>
      <c r="G1013" s="123">
        <v>14500</v>
      </c>
      <c r="H1013" s="18" t="s">
        <v>5</v>
      </c>
      <c r="I1013" s="19" t="e">
        <f>IF(Paid[[#This Row],[Currency]]="USD",Paid[[#This Row],[Montant]],Paid[[#This Row],[Montant]]/VLOOKUP(Paid[[#This Row],[Date Paid]],TableCurrencyRate[#All],2,FALSE))</f>
        <v>#N/A</v>
      </c>
    </row>
    <row r="1014" spans="2:9" x14ac:dyDescent="0.2">
      <c r="B1014" s="12">
        <v>44127</v>
      </c>
      <c r="C1014" s="9">
        <v>44056</v>
      </c>
      <c r="D1014" s="10"/>
      <c r="E1014" s="10"/>
      <c r="F1014" s="11" t="s">
        <v>1066</v>
      </c>
      <c r="G1014" s="123">
        <v>13900</v>
      </c>
      <c r="H1014" s="18" t="s">
        <v>5</v>
      </c>
      <c r="I1014" s="19" t="e">
        <f>IF(Paid[[#This Row],[Currency]]="USD",Paid[[#This Row],[Montant]],Paid[[#This Row],[Montant]]/VLOOKUP(Paid[[#This Row],[Date Paid]],TableCurrencyRate[#All],2,FALSE))</f>
        <v>#N/A</v>
      </c>
    </row>
    <row r="1015" spans="2:9" x14ac:dyDescent="0.2">
      <c r="B1015" s="12">
        <v>44127</v>
      </c>
      <c r="C1015" s="9">
        <v>43971</v>
      </c>
      <c r="D1015" s="10"/>
      <c r="E1015" s="10"/>
      <c r="F1015" s="11" t="s">
        <v>852</v>
      </c>
      <c r="G1015" s="123">
        <v>35400</v>
      </c>
      <c r="H1015" s="18" t="s">
        <v>5</v>
      </c>
      <c r="I1015" s="19" t="e">
        <f>IF(Paid[[#This Row],[Currency]]="USD",Paid[[#This Row],[Montant]],Paid[[#This Row],[Montant]]/VLOOKUP(Paid[[#This Row],[Date Paid]],TableCurrencyRate[#All],2,FALSE))</f>
        <v>#N/A</v>
      </c>
    </row>
    <row r="1016" spans="2:9" x14ac:dyDescent="0.2">
      <c r="B1016" s="12">
        <v>44127</v>
      </c>
      <c r="C1016" s="9">
        <v>43971</v>
      </c>
      <c r="D1016" s="10"/>
      <c r="E1016" s="10"/>
      <c r="F1016" s="11" t="s">
        <v>1053</v>
      </c>
      <c r="G1016" s="123">
        <v>59000</v>
      </c>
      <c r="H1016" s="18" t="s">
        <v>5</v>
      </c>
      <c r="I1016" s="19" t="e">
        <f>IF(Paid[[#This Row],[Currency]]="USD",Paid[[#This Row],[Montant]],Paid[[#This Row],[Montant]]/VLOOKUP(Paid[[#This Row],[Date Paid]],TableCurrencyRate[#All],2,FALSE))</f>
        <v>#N/A</v>
      </c>
    </row>
    <row r="1017" spans="2:9" x14ac:dyDescent="0.2">
      <c r="B1017" s="12">
        <v>44127</v>
      </c>
      <c r="C1017" s="9">
        <v>44084</v>
      </c>
      <c r="D1017" s="10"/>
      <c r="E1017" s="10"/>
      <c r="F1017" s="11" t="s">
        <v>1052</v>
      </c>
      <c r="G1017" s="123">
        <v>42000</v>
      </c>
      <c r="H1017" s="18" t="s">
        <v>5</v>
      </c>
      <c r="I1017" s="19" t="e">
        <f>IF(Paid[[#This Row],[Currency]]="USD",Paid[[#This Row],[Montant]],Paid[[#This Row],[Montant]]/VLOOKUP(Paid[[#This Row],[Date Paid]],TableCurrencyRate[#All],2,FALSE))</f>
        <v>#N/A</v>
      </c>
    </row>
    <row r="1018" spans="2:9" x14ac:dyDescent="0.2">
      <c r="B1018" s="12">
        <v>44127</v>
      </c>
      <c r="C1018" s="9">
        <v>43916</v>
      </c>
      <c r="D1018" s="10"/>
      <c r="E1018" s="10"/>
      <c r="F1018" s="11" t="s">
        <v>853</v>
      </c>
      <c r="G1018" s="123">
        <v>10900</v>
      </c>
      <c r="H1018" s="18" t="s">
        <v>5</v>
      </c>
      <c r="I1018" s="19" t="e">
        <f>IF(Paid[[#This Row],[Currency]]="USD",Paid[[#This Row],[Montant]],Paid[[#This Row],[Montant]]/VLOOKUP(Paid[[#This Row],[Date Paid]],TableCurrencyRate[#All],2,FALSE))</f>
        <v>#N/A</v>
      </c>
    </row>
    <row r="1019" spans="2:9" x14ac:dyDescent="0.2">
      <c r="B1019" s="12">
        <v>44127</v>
      </c>
      <c r="C1019" s="9">
        <v>44015</v>
      </c>
      <c r="D1019" s="10"/>
      <c r="E1019" s="10"/>
      <c r="F1019" s="11" t="s">
        <v>1055</v>
      </c>
      <c r="G1019" s="123">
        <v>23400</v>
      </c>
      <c r="H1019" s="18" t="s">
        <v>5</v>
      </c>
      <c r="I1019" s="19" t="e">
        <f>IF(Paid[[#This Row],[Currency]]="USD",Paid[[#This Row],[Montant]],Paid[[#This Row],[Montant]]/VLOOKUP(Paid[[#This Row],[Date Paid]],TableCurrencyRate[#All],2,FALSE))</f>
        <v>#N/A</v>
      </c>
    </row>
    <row r="1020" spans="2:9" x14ac:dyDescent="0.2">
      <c r="B1020" s="12">
        <v>44127</v>
      </c>
      <c r="C1020" s="9">
        <v>44056</v>
      </c>
      <c r="D1020" s="10"/>
      <c r="E1020" s="10"/>
      <c r="F1020" s="11" t="s">
        <v>1054</v>
      </c>
      <c r="G1020" s="123">
        <v>13900</v>
      </c>
      <c r="H1020" s="18" t="s">
        <v>5</v>
      </c>
      <c r="I1020" s="19" t="e">
        <f>IF(Paid[[#This Row],[Currency]]="USD",Paid[[#This Row],[Montant]],Paid[[#This Row],[Montant]]/VLOOKUP(Paid[[#This Row],[Date Paid]],TableCurrencyRate[#All],2,FALSE))</f>
        <v>#N/A</v>
      </c>
    </row>
    <row r="1021" spans="2:9" x14ac:dyDescent="0.2">
      <c r="B1021" s="12">
        <v>44127</v>
      </c>
      <c r="C1021" s="9">
        <v>43916</v>
      </c>
      <c r="D1021" s="10"/>
      <c r="E1021" s="10"/>
      <c r="F1021" s="11" t="s">
        <v>858</v>
      </c>
      <c r="G1021" s="123">
        <v>10900</v>
      </c>
      <c r="H1021" s="18" t="s">
        <v>5</v>
      </c>
      <c r="I1021" s="19" t="e">
        <f>IF(Paid[[#This Row],[Currency]]="USD",Paid[[#This Row],[Montant]],Paid[[#This Row],[Montant]]/VLOOKUP(Paid[[#This Row],[Date Paid]],TableCurrencyRate[#All],2,FALSE))</f>
        <v>#N/A</v>
      </c>
    </row>
    <row r="1022" spans="2:9" x14ac:dyDescent="0.2">
      <c r="B1022" s="12">
        <v>44127</v>
      </c>
      <c r="C1022" s="9">
        <v>44070</v>
      </c>
      <c r="D1022" s="10"/>
      <c r="E1022" s="10"/>
      <c r="F1022" s="11" t="s">
        <v>1089</v>
      </c>
      <c r="G1022" s="123">
        <v>11500</v>
      </c>
      <c r="H1022" s="18" t="s">
        <v>5</v>
      </c>
      <c r="I1022" s="19" t="e">
        <f>IF(Paid[[#This Row],[Currency]]="USD",Paid[[#This Row],[Montant]],Paid[[#This Row],[Montant]]/VLOOKUP(Paid[[#This Row],[Date Paid]],TableCurrencyRate[#All],2,FALSE))</f>
        <v>#N/A</v>
      </c>
    </row>
    <row r="1023" spans="2:9" x14ac:dyDescent="0.2">
      <c r="B1023" s="12">
        <v>44127</v>
      </c>
      <c r="C1023" s="9">
        <v>44070</v>
      </c>
      <c r="D1023" s="10"/>
      <c r="E1023" s="10"/>
      <c r="F1023" s="11" t="s">
        <v>1088</v>
      </c>
      <c r="G1023" s="123">
        <v>10900</v>
      </c>
      <c r="H1023" s="18" t="s">
        <v>5</v>
      </c>
      <c r="I1023" s="19" t="e">
        <f>IF(Paid[[#This Row],[Currency]]="USD",Paid[[#This Row],[Montant]],Paid[[#This Row],[Montant]]/VLOOKUP(Paid[[#This Row],[Date Paid]],TableCurrencyRate[#All],2,FALSE))</f>
        <v>#N/A</v>
      </c>
    </row>
    <row r="1024" spans="2:9" x14ac:dyDescent="0.2">
      <c r="B1024" s="12">
        <v>44127</v>
      </c>
      <c r="C1024" s="9">
        <v>43916</v>
      </c>
      <c r="D1024" s="10"/>
      <c r="E1024" s="10"/>
      <c r="F1024" s="11" t="s">
        <v>848</v>
      </c>
      <c r="G1024" s="123">
        <v>18200</v>
      </c>
      <c r="H1024" s="18" t="s">
        <v>5</v>
      </c>
      <c r="I1024" s="19" t="e">
        <f>IF(Paid[[#This Row],[Currency]]="USD",Paid[[#This Row],[Montant]],Paid[[#This Row],[Montant]]/VLOOKUP(Paid[[#This Row],[Date Paid]],TableCurrencyRate[#All],2,FALSE))</f>
        <v>#N/A</v>
      </c>
    </row>
    <row r="1025" spans="2:9" x14ac:dyDescent="0.2">
      <c r="B1025" s="12">
        <v>44127</v>
      </c>
      <c r="C1025" s="9">
        <v>44033</v>
      </c>
      <c r="D1025" s="10"/>
      <c r="E1025" s="10"/>
      <c r="F1025" s="11" t="s">
        <v>1056</v>
      </c>
      <c r="G1025" s="123">
        <v>19000</v>
      </c>
      <c r="H1025" s="18" t="s">
        <v>5</v>
      </c>
      <c r="I1025" s="19" t="e">
        <f>IF(Paid[[#This Row],[Currency]]="USD",Paid[[#This Row],[Montant]],Paid[[#This Row],[Montant]]/VLOOKUP(Paid[[#This Row],[Date Paid]],TableCurrencyRate[#All],2,FALSE))</f>
        <v>#N/A</v>
      </c>
    </row>
    <row r="1026" spans="2:9" x14ac:dyDescent="0.2">
      <c r="B1026" s="12">
        <v>44127</v>
      </c>
      <c r="C1026" s="9">
        <v>44033</v>
      </c>
      <c r="D1026" s="10"/>
      <c r="E1026" s="10"/>
      <c r="F1026" s="11" t="s">
        <v>1057</v>
      </c>
      <c r="G1026" s="123">
        <v>20000</v>
      </c>
      <c r="H1026" s="18" t="s">
        <v>5</v>
      </c>
      <c r="I1026" s="19" t="e">
        <f>IF(Paid[[#This Row],[Currency]]="USD",Paid[[#This Row],[Montant]],Paid[[#This Row],[Montant]]/VLOOKUP(Paid[[#This Row],[Date Paid]],TableCurrencyRate[#All],2,FALSE))</f>
        <v>#N/A</v>
      </c>
    </row>
    <row r="1027" spans="2:9" x14ac:dyDescent="0.2">
      <c r="B1027" s="12">
        <v>44127</v>
      </c>
      <c r="C1027" s="13">
        <v>44089</v>
      </c>
      <c r="D1027" s="14"/>
      <c r="E1027" s="14" t="s">
        <v>813</v>
      </c>
      <c r="F1027" s="15" t="s">
        <v>1045</v>
      </c>
      <c r="G1027" s="77">
        <f>278500-24500</f>
        <v>254000</v>
      </c>
      <c r="H1027" s="16" t="s">
        <v>5</v>
      </c>
      <c r="I1027" s="19" t="e">
        <f>IF(Paid[[#This Row],[Currency]]="USD",Paid[[#This Row],[Montant]],Paid[[#This Row],[Montant]]/VLOOKUP(Paid[[#This Row],[Date Paid]],TableCurrencyRate[#All],2,FALSE))</f>
        <v>#N/A</v>
      </c>
    </row>
    <row r="1028" spans="2:9" x14ac:dyDescent="0.2">
      <c r="B1028" s="12">
        <v>44127</v>
      </c>
      <c r="C1028" s="13">
        <v>44089</v>
      </c>
      <c r="D1028" s="14"/>
      <c r="E1028" s="14"/>
      <c r="F1028" s="15" t="s">
        <v>1046</v>
      </c>
      <c r="G1028" s="78">
        <v>112400</v>
      </c>
      <c r="H1028" s="16" t="s">
        <v>5</v>
      </c>
      <c r="I1028" s="19" t="e">
        <f>IF(Paid[[#This Row],[Currency]]="USD",Paid[[#This Row],[Montant]],Paid[[#This Row],[Montant]]/VLOOKUP(Paid[[#This Row],[Date Paid]],TableCurrencyRate[#All],2,FALSE))</f>
        <v>#N/A</v>
      </c>
    </row>
    <row r="1029" spans="2:9" x14ac:dyDescent="0.2">
      <c r="B1029" s="12">
        <v>44127</v>
      </c>
      <c r="C1029" s="9">
        <v>44127</v>
      </c>
      <c r="D1029" s="10"/>
      <c r="E1029" s="10" t="s">
        <v>887</v>
      </c>
      <c r="F1029" s="11" t="s">
        <v>1090</v>
      </c>
      <c r="G1029" s="122">
        <f>50000-22000</f>
        <v>28000</v>
      </c>
      <c r="H1029" s="18" t="s">
        <v>5</v>
      </c>
      <c r="I1029" s="19" t="e">
        <f>IF(Paid[[#This Row],[Currency]]="USD",Paid[[#This Row],[Montant]],Paid[[#This Row],[Montant]]/VLOOKUP(Paid[[#This Row],[Date Paid]],TableCurrencyRate[#All],2,FALSE))</f>
        <v>#N/A</v>
      </c>
    </row>
    <row r="1030" spans="2:9" x14ac:dyDescent="0.2">
      <c r="B1030" s="12">
        <v>44127</v>
      </c>
      <c r="C1030" s="9">
        <v>44127</v>
      </c>
      <c r="D1030" s="10" t="s">
        <v>46</v>
      </c>
      <c r="E1030" s="10"/>
      <c r="F1030" s="11" t="s">
        <v>1091</v>
      </c>
      <c r="G1030" s="123">
        <v>109000</v>
      </c>
      <c r="H1030" s="18" t="s">
        <v>5</v>
      </c>
      <c r="I1030" s="19" t="e">
        <f>IF(Paid[[#This Row],[Currency]]="USD",Paid[[#This Row],[Montant]],Paid[[#This Row],[Montant]]/VLOOKUP(Paid[[#This Row],[Date Paid]],TableCurrencyRate[#All],2,FALSE))</f>
        <v>#N/A</v>
      </c>
    </row>
    <row r="1031" spans="2:9" x14ac:dyDescent="0.2">
      <c r="B1031" s="12">
        <v>44127</v>
      </c>
      <c r="C1031" s="13">
        <v>44134</v>
      </c>
      <c r="D1031" s="14"/>
      <c r="E1031" s="14"/>
      <c r="F1031" s="15" t="s">
        <v>1092</v>
      </c>
      <c r="G1031" s="159">
        <v>600000</v>
      </c>
      <c r="H1031" s="16" t="s">
        <v>5</v>
      </c>
      <c r="I1031" s="19" t="e">
        <f>IF(Paid[[#This Row],[Currency]]="USD",Paid[[#This Row],[Montant]],Paid[[#This Row],[Montant]]/VLOOKUP(Paid[[#This Row],[Date Paid]],TableCurrencyRate[#All],2,FALSE))</f>
        <v>#N/A</v>
      </c>
    </row>
    <row r="1032" spans="2:9" x14ac:dyDescent="0.2">
      <c r="B1032" s="166">
        <v>44128</v>
      </c>
      <c r="C1032" s="161">
        <v>44128</v>
      </c>
      <c r="D1032" s="162"/>
      <c r="E1032" s="10" t="s">
        <v>911</v>
      </c>
      <c r="F1032" s="11" t="s">
        <v>1093</v>
      </c>
      <c r="G1032" s="171">
        <f>77500-4050</f>
        <v>73450</v>
      </c>
      <c r="H1032" s="18" t="s">
        <v>5</v>
      </c>
      <c r="I1032" s="165" t="e">
        <f>IF(Paid[[#This Row],[Currency]]="USD",Paid[[#This Row],[Montant]],Paid[[#This Row],[Montant]]/VLOOKUP(Paid[[#This Row],[Date Paid]],TableCurrencyRate[#All],2,FALSE))</f>
        <v>#N/A</v>
      </c>
    </row>
    <row r="1033" spans="2:9" x14ac:dyDescent="0.2">
      <c r="B1033" s="166">
        <v>44130</v>
      </c>
      <c r="C1033" s="161">
        <v>44130</v>
      </c>
      <c r="D1033" s="162"/>
      <c r="E1033" s="10" t="s">
        <v>887</v>
      </c>
      <c r="F1033" s="11" t="s">
        <v>1094</v>
      </c>
      <c r="G1033" s="171">
        <v>45000</v>
      </c>
      <c r="H1033" s="18" t="s">
        <v>5</v>
      </c>
      <c r="I1033" s="165" t="e">
        <f>IF(Paid[[#This Row],[Currency]]="USD",Paid[[#This Row],[Montant]],Paid[[#This Row],[Montant]]/VLOOKUP(Paid[[#This Row],[Date Paid]],TableCurrencyRate[#All],2,FALSE))</f>
        <v>#N/A</v>
      </c>
    </row>
    <row r="1034" spans="2:9" x14ac:dyDescent="0.2">
      <c r="B1034" s="166">
        <v>44130</v>
      </c>
      <c r="C1034" s="161">
        <v>44130</v>
      </c>
      <c r="D1034" s="162"/>
      <c r="E1034" s="162"/>
      <c r="F1034" s="11" t="s">
        <v>1076</v>
      </c>
      <c r="G1034" s="171">
        <v>200100</v>
      </c>
      <c r="H1034" s="18" t="s">
        <v>5</v>
      </c>
      <c r="I1034" s="165" t="e">
        <f>IF(Paid[[#This Row],[Currency]]="USD",Paid[[#This Row],[Montant]],Paid[[#This Row],[Montant]]/VLOOKUP(Paid[[#This Row],[Date Paid]],TableCurrencyRate[#All],2,FALSE))</f>
        <v>#N/A</v>
      </c>
    </row>
    <row r="1035" spans="2:9" x14ac:dyDescent="0.2">
      <c r="B1035" s="166">
        <v>44130</v>
      </c>
      <c r="C1035" s="161">
        <v>44130</v>
      </c>
      <c r="D1035" s="162"/>
      <c r="E1035" s="162"/>
      <c r="F1035" s="11" t="s">
        <v>1077</v>
      </c>
      <c r="G1035" s="171">
        <f>229000+62500</f>
        <v>291500</v>
      </c>
      <c r="H1035" s="18" t="s">
        <v>5</v>
      </c>
      <c r="I1035" s="165" t="e">
        <f>IF(Paid[[#This Row],[Currency]]="USD",Paid[[#This Row],[Montant]],Paid[[#This Row],[Montant]]/VLOOKUP(Paid[[#This Row],[Date Paid]],TableCurrencyRate[#All],2,FALSE))</f>
        <v>#N/A</v>
      </c>
    </row>
    <row r="1036" spans="2:9" x14ac:dyDescent="0.2">
      <c r="B1036" s="166">
        <v>44130</v>
      </c>
      <c r="C1036" s="161">
        <v>44130</v>
      </c>
      <c r="D1036" s="162"/>
      <c r="E1036" s="162"/>
      <c r="F1036" s="11" t="s">
        <v>1095</v>
      </c>
      <c r="G1036" s="172">
        <v>39000</v>
      </c>
      <c r="H1036" s="18" t="s">
        <v>5</v>
      </c>
      <c r="I1036" s="165" t="e">
        <f>IF(Paid[[#This Row],[Currency]]="USD",Paid[[#This Row],[Montant]],Paid[[#This Row],[Montant]]/VLOOKUP(Paid[[#This Row],[Date Paid]],TableCurrencyRate[#All],2,FALSE))</f>
        <v>#N/A</v>
      </c>
    </row>
    <row r="1037" spans="2:9" x14ac:dyDescent="0.2">
      <c r="B1037" s="166">
        <v>44130</v>
      </c>
      <c r="C1037" s="161">
        <v>44130</v>
      </c>
      <c r="D1037" s="162"/>
      <c r="E1037" s="162"/>
      <c r="F1037" s="11" t="s">
        <v>1096</v>
      </c>
      <c r="G1037" s="171">
        <f>181900-2350</f>
        <v>179550</v>
      </c>
      <c r="H1037" s="18" t="s">
        <v>5</v>
      </c>
      <c r="I1037" s="165" t="e">
        <f>IF(Paid[[#This Row],[Currency]]="USD",Paid[[#This Row],[Montant]],Paid[[#This Row],[Montant]]/VLOOKUP(Paid[[#This Row],[Date Paid]],TableCurrencyRate[#All],2,FALSE))</f>
        <v>#N/A</v>
      </c>
    </row>
    <row r="1038" spans="2:9" x14ac:dyDescent="0.2">
      <c r="B1038" s="166">
        <v>44131</v>
      </c>
      <c r="C1038" s="13">
        <v>43956</v>
      </c>
      <c r="D1038" s="14"/>
      <c r="E1038" s="14"/>
      <c r="F1038" s="15" t="s">
        <v>846</v>
      </c>
      <c r="G1038" s="21">
        <v>38200</v>
      </c>
      <c r="H1038" s="16" t="s">
        <v>5</v>
      </c>
      <c r="I1038" s="165" t="e">
        <f>IF(Paid[[#This Row],[Currency]]="USD",Paid[[#This Row],[Montant]],Paid[[#This Row],[Montant]]/VLOOKUP(Paid[[#This Row],[Date Paid]],TableCurrencyRate[#All],2,FALSE))</f>
        <v>#N/A</v>
      </c>
    </row>
    <row r="1039" spans="2:9" x14ac:dyDescent="0.2">
      <c r="B1039" s="166">
        <v>44131</v>
      </c>
      <c r="C1039" s="13">
        <v>44015</v>
      </c>
      <c r="D1039" s="14"/>
      <c r="E1039" s="14"/>
      <c r="F1039" s="15" t="s">
        <v>1061</v>
      </c>
      <c r="G1039" s="21">
        <v>22000</v>
      </c>
      <c r="H1039" s="16" t="s">
        <v>5</v>
      </c>
      <c r="I1039" s="165" t="e">
        <f>IF(Paid[[#This Row],[Currency]]="USD",Paid[[#This Row],[Montant]],Paid[[#This Row],[Montant]]/VLOOKUP(Paid[[#This Row],[Date Paid]],TableCurrencyRate[#All],2,FALSE))</f>
        <v>#N/A</v>
      </c>
    </row>
    <row r="1040" spans="2:9" x14ac:dyDescent="0.2">
      <c r="B1040" s="166">
        <v>44131</v>
      </c>
      <c r="C1040" s="161">
        <v>44056</v>
      </c>
      <c r="D1040" s="162"/>
      <c r="E1040" s="162"/>
      <c r="F1040" s="163" t="s">
        <v>1068</v>
      </c>
      <c r="G1040" s="164">
        <v>47200</v>
      </c>
      <c r="H1040" s="164" t="s">
        <v>5</v>
      </c>
      <c r="I1040" s="165" t="e">
        <f>IF(Paid[[#This Row],[Currency]]="USD",Paid[[#This Row],[Montant]],Paid[[#This Row],[Montant]]/VLOOKUP(Paid[[#This Row],[Date Paid]],TableCurrencyRate[#All],2,FALSE))</f>
        <v>#N/A</v>
      </c>
    </row>
    <row r="1041" spans="2:9" x14ac:dyDescent="0.2">
      <c r="B1041" s="166">
        <v>44131</v>
      </c>
      <c r="C1041" s="161">
        <v>44131</v>
      </c>
      <c r="D1041" s="162"/>
      <c r="E1041" s="162"/>
      <c r="F1041" s="163" t="s">
        <v>141</v>
      </c>
      <c r="G1041" s="164">
        <v>37400</v>
      </c>
      <c r="H1041" s="164" t="s">
        <v>5</v>
      </c>
      <c r="I1041" s="165" t="e">
        <f>IF(Paid[[#This Row],[Currency]]="USD",Paid[[#This Row],[Montant]],Paid[[#This Row],[Montant]]/VLOOKUP(Paid[[#This Row],[Date Paid]],TableCurrencyRate[#All],2,FALSE))</f>
        <v>#N/A</v>
      </c>
    </row>
    <row r="1042" spans="2:9" x14ac:dyDescent="0.2">
      <c r="B1042" s="166">
        <v>44131</v>
      </c>
      <c r="C1042" s="161">
        <v>44131</v>
      </c>
      <c r="D1042" s="162"/>
      <c r="E1042" s="162"/>
      <c r="F1042" s="163" t="s">
        <v>1080</v>
      </c>
      <c r="G1042" s="164">
        <v>30200</v>
      </c>
      <c r="H1042" s="164" t="s">
        <v>5</v>
      </c>
      <c r="I1042" s="165" t="e">
        <f>IF(Paid[[#This Row],[Currency]]="USD",Paid[[#This Row],[Montant]],Paid[[#This Row],[Montant]]/VLOOKUP(Paid[[#This Row],[Date Paid]],TableCurrencyRate[#All],2,FALSE))</f>
        <v>#N/A</v>
      </c>
    </row>
    <row r="1043" spans="2:9" x14ac:dyDescent="0.2">
      <c r="B1043" s="166">
        <v>44131</v>
      </c>
      <c r="C1043" s="161">
        <v>43962</v>
      </c>
      <c r="D1043" s="162"/>
      <c r="E1043" s="162"/>
      <c r="F1043" s="163" t="s">
        <v>847</v>
      </c>
      <c r="G1043" s="164">
        <v>36400</v>
      </c>
      <c r="H1043" s="164" t="s">
        <v>5</v>
      </c>
      <c r="I1043" s="165" t="e">
        <f>IF(Paid[[#This Row],[Currency]]="USD",Paid[[#This Row],[Montant]],Paid[[#This Row],[Montant]]/VLOOKUP(Paid[[#This Row],[Date Paid]],TableCurrencyRate[#All],2,FALSE))</f>
        <v>#N/A</v>
      </c>
    </row>
    <row r="1044" spans="2:9" x14ac:dyDescent="0.2">
      <c r="B1044" s="166">
        <v>44131</v>
      </c>
      <c r="C1044" s="161">
        <v>44019</v>
      </c>
      <c r="D1044" s="162"/>
      <c r="E1044" s="162"/>
      <c r="F1044" s="163" t="s">
        <v>1060</v>
      </c>
      <c r="G1044" s="164">
        <v>21800</v>
      </c>
      <c r="H1044" s="164" t="s">
        <v>5</v>
      </c>
      <c r="I1044" s="165" t="e">
        <f>IF(Paid[[#This Row],[Currency]]="USD",Paid[[#This Row],[Montant]],Paid[[#This Row],[Montant]]/VLOOKUP(Paid[[#This Row],[Date Paid]],TableCurrencyRate[#All],2,FALSE))</f>
        <v>#N/A</v>
      </c>
    </row>
    <row r="1045" spans="2:9" x14ac:dyDescent="0.2">
      <c r="B1045" s="166">
        <v>44131</v>
      </c>
      <c r="C1045" s="161">
        <v>44056</v>
      </c>
      <c r="D1045" s="162"/>
      <c r="E1045" s="162"/>
      <c r="F1045" s="163" t="s">
        <v>1070</v>
      </c>
      <c r="G1045" s="164">
        <v>43400</v>
      </c>
      <c r="H1045" s="164" t="s">
        <v>5</v>
      </c>
      <c r="I1045" s="165" t="e">
        <f>IF(Paid[[#This Row],[Currency]]="USD",Paid[[#This Row],[Montant]],Paid[[#This Row],[Montant]]/VLOOKUP(Paid[[#This Row],[Date Paid]],TableCurrencyRate[#All],2,FALSE))</f>
        <v>#N/A</v>
      </c>
    </row>
    <row r="1046" spans="2:9" x14ac:dyDescent="0.2">
      <c r="B1046" s="166">
        <v>44131</v>
      </c>
      <c r="C1046" s="161">
        <v>44131</v>
      </c>
      <c r="D1046" s="162"/>
      <c r="E1046" s="162"/>
      <c r="F1046" s="163" t="s">
        <v>1079</v>
      </c>
      <c r="G1046" s="164">
        <v>68200</v>
      </c>
      <c r="H1046" s="164" t="s">
        <v>5</v>
      </c>
      <c r="I1046" s="165" t="e">
        <f>IF(Paid[[#This Row],[Currency]]="USD",Paid[[#This Row],[Montant]],Paid[[#This Row],[Montant]]/VLOOKUP(Paid[[#This Row],[Date Paid]],TableCurrencyRate[#All],2,FALSE))</f>
        <v>#N/A</v>
      </c>
    </row>
    <row r="1047" spans="2:9" x14ac:dyDescent="0.2">
      <c r="B1047" s="166">
        <v>44132</v>
      </c>
      <c r="C1047" s="161">
        <v>44098</v>
      </c>
      <c r="D1047" s="162"/>
      <c r="E1047" s="162"/>
      <c r="F1047" s="163" t="s">
        <v>1043</v>
      </c>
      <c r="G1047" s="164">
        <v>118800</v>
      </c>
      <c r="H1047" s="164" t="s">
        <v>5</v>
      </c>
      <c r="I1047" s="165" t="e">
        <f>IF(Paid[[#This Row],[Currency]]="USD",Paid[[#This Row],[Montant]],Paid[[#This Row],[Montant]]/VLOOKUP(Paid[[#This Row],[Date Paid]],TableCurrencyRate[#All],2,FALSE))</f>
        <v>#N/A</v>
      </c>
    </row>
    <row r="1048" spans="2:9" x14ac:dyDescent="0.2">
      <c r="B1048" s="166">
        <v>44132</v>
      </c>
      <c r="C1048" s="13">
        <v>44134</v>
      </c>
      <c r="D1048" s="14"/>
      <c r="E1048" s="14"/>
      <c r="F1048" s="15" t="s">
        <v>1074</v>
      </c>
      <c r="G1048" s="158">
        <v>1000000</v>
      </c>
      <c r="H1048" s="16" t="s">
        <v>5</v>
      </c>
      <c r="I1048" s="165" t="e">
        <f>IF(Paid[[#This Row],[Currency]]="USD",Paid[[#This Row],[Montant]],Paid[[#This Row],[Montant]]/VLOOKUP(Paid[[#This Row],[Date Paid]],TableCurrencyRate[#All],2,FALSE))</f>
        <v>#N/A</v>
      </c>
    </row>
    <row r="1049" spans="2:9" x14ac:dyDescent="0.2">
      <c r="B1049" s="166">
        <v>44132</v>
      </c>
      <c r="C1049" s="13">
        <v>43965</v>
      </c>
      <c r="D1049" s="14"/>
      <c r="E1049" s="14"/>
      <c r="F1049" s="15" t="s">
        <v>988</v>
      </c>
      <c r="G1049" s="21">
        <v>748200</v>
      </c>
      <c r="H1049" s="16" t="s">
        <v>5</v>
      </c>
      <c r="I1049" s="165" t="e">
        <f>IF(Paid[[#This Row],[Currency]]="USD",Paid[[#This Row],[Montant]],Paid[[#This Row],[Montant]]/VLOOKUP(Paid[[#This Row],[Date Paid]],TableCurrencyRate[#All],2,FALSE))</f>
        <v>#N/A</v>
      </c>
    </row>
    <row r="1050" spans="2:9" x14ac:dyDescent="0.2">
      <c r="B1050" s="166">
        <v>44132</v>
      </c>
      <c r="C1050" s="13">
        <v>44004</v>
      </c>
      <c r="D1050" s="14" t="s">
        <v>1000</v>
      </c>
      <c r="E1050" s="14"/>
      <c r="F1050" s="15" t="s">
        <v>1003</v>
      </c>
      <c r="G1050" s="21">
        <v>96300</v>
      </c>
      <c r="H1050" s="16" t="s">
        <v>5</v>
      </c>
      <c r="I1050" s="165" t="e">
        <f>IF(Paid[[#This Row],[Currency]]="USD",Paid[[#This Row],[Montant]],Paid[[#This Row],[Montant]]/VLOOKUP(Paid[[#This Row],[Date Paid]],TableCurrencyRate[#All],2,FALSE))</f>
        <v>#N/A</v>
      </c>
    </row>
    <row r="1051" spans="2:9" x14ac:dyDescent="0.2">
      <c r="B1051" s="166">
        <v>44132</v>
      </c>
      <c r="C1051" s="13">
        <v>43987</v>
      </c>
      <c r="D1051" s="14" t="s">
        <v>1000</v>
      </c>
      <c r="E1051" s="14"/>
      <c r="F1051" s="15" t="s">
        <v>814</v>
      </c>
      <c r="G1051" s="21">
        <v>50000</v>
      </c>
      <c r="H1051" s="16" t="s">
        <v>5</v>
      </c>
      <c r="I1051" s="165" t="e">
        <f>IF(Paid[[#This Row],[Currency]]="USD",Paid[[#This Row],[Montant]],Paid[[#This Row],[Montant]]/VLOOKUP(Paid[[#This Row],[Date Paid]],TableCurrencyRate[#All],2,FALSE))</f>
        <v>#N/A</v>
      </c>
    </row>
    <row r="1052" spans="2:9" x14ac:dyDescent="0.2">
      <c r="B1052" s="166">
        <v>44132</v>
      </c>
      <c r="C1052" s="161">
        <v>44128</v>
      </c>
      <c r="D1052" s="162"/>
      <c r="E1052" s="162"/>
      <c r="F1052" s="163" t="s">
        <v>1078</v>
      </c>
      <c r="G1052" s="164">
        <f>83800-350</f>
        <v>83450</v>
      </c>
      <c r="H1052" s="164" t="s">
        <v>5</v>
      </c>
      <c r="I1052" s="165" t="e">
        <f>IF(Paid[[#This Row],[Currency]]="USD",Paid[[#This Row],[Montant]],Paid[[#This Row],[Montant]]/VLOOKUP(Paid[[#This Row],[Date Paid]],TableCurrencyRate[#All],2,FALSE))</f>
        <v>#N/A</v>
      </c>
    </row>
    <row r="1053" spans="2:9" x14ac:dyDescent="0.2">
      <c r="B1053" s="166">
        <v>44132</v>
      </c>
      <c r="C1053" s="161">
        <v>44131</v>
      </c>
      <c r="D1053" s="162"/>
      <c r="E1053" s="162"/>
      <c r="F1053" s="163" t="s">
        <v>1078</v>
      </c>
      <c r="G1053" s="164">
        <f>87800-9400</f>
        <v>78400</v>
      </c>
      <c r="H1053" s="164" t="s">
        <v>5</v>
      </c>
      <c r="I1053" s="165" t="e">
        <f>IF(Paid[[#This Row],[Currency]]="USD",Paid[[#This Row],[Montant]],Paid[[#This Row],[Montant]]/VLOOKUP(Paid[[#This Row],[Date Paid]],TableCurrencyRate[#All],2,FALSE))</f>
        <v>#N/A</v>
      </c>
    </row>
    <row r="1054" spans="2:9" x14ac:dyDescent="0.2">
      <c r="B1054" s="166">
        <v>44132</v>
      </c>
      <c r="C1054" s="161">
        <v>44000</v>
      </c>
      <c r="D1054" s="162"/>
      <c r="E1054" s="162"/>
      <c r="F1054" s="163" t="s">
        <v>918</v>
      </c>
      <c r="G1054" s="164">
        <f>110000+22000</f>
        <v>132000</v>
      </c>
      <c r="H1054" s="164" t="s">
        <v>5</v>
      </c>
      <c r="I1054" s="165" t="e">
        <f>IF(Paid[[#This Row],[Currency]]="USD",Paid[[#This Row],[Montant]],Paid[[#This Row],[Montant]]/VLOOKUP(Paid[[#This Row],[Date Paid]],TableCurrencyRate[#All],2,FALSE))</f>
        <v>#N/A</v>
      </c>
    </row>
    <row r="1055" spans="2:9" x14ac:dyDescent="0.2">
      <c r="B1055" s="166">
        <v>44132</v>
      </c>
      <c r="C1055" s="161">
        <v>44131</v>
      </c>
      <c r="D1055" s="162"/>
      <c r="E1055" s="162"/>
      <c r="F1055" s="163" t="s">
        <v>827</v>
      </c>
      <c r="G1055" s="164">
        <f>180400-6600</f>
        <v>173800</v>
      </c>
      <c r="H1055" s="164" t="s">
        <v>5</v>
      </c>
      <c r="I1055" s="165" t="e">
        <f>IF(Paid[[#This Row],[Currency]]="USD",Paid[[#This Row],[Montant]],Paid[[#This Row],[Montant]]/VLOOKUP(Paid[[#This Row],[Date Paid]],TableCurrencyRate[#All],2,FALSE))</f>
        <v>#N/A</v>
      </c>
    </row>
    <row r="1056" spans="2:9" x14ac:dyDescent="0.2">
      <c r="B1056" s="166">
        <v>44132</v>
      </c>
      <c r="C1056" s="161">
        <v>44132</v>
      </c>
      <c r="D1056" s="162"/>
      <c r="E1056" s="10" t="s">
        <v>650</v>
      </c>
      <c r="F1056" s="11" t="s">
        <v>1105</v>
      </c>
      <c r="G1056" s="164">
        <f>34000+1300</f>
        <v>35300</v>
      </c>
      <c r="H1056" s="18" t="s">
        <v>5</v>
      </c>
      <c r="I1056" s="165" t="e">
        <f>IF(Paid[[#This Row],[Currency]]="USD",Paid[[#This Row],[Montant]],Paid[[#This Row],[Montant]]/VLOOKUP(Paid[[#This Row],[Date Paid]],TableCurrencyRate[#All],2,FALSE))</f>
        <v>#N/A</v>
      </c>
    </row>
    <row r="1057" spans="2:9" x14ac:dyDescent="0.2">
      <c r="B1057" s="166">
        <v>44132</v>
      </c>
      <c r="C1057" s="13">
        <v>44050</v>
      </c>
      <c r="D1057" s="14" t="s">
        <v>1047</v>
      </c>
      <c r="E1057" s="14"/>
      <c r="F1057" s="15" t="s">
        <v>1048</v>
      </c>
      <c r="G1057" s="21">
        <v>205000</v>
      </c>
      <c r="H1057" s="16" t="s">
        <v>5</v>
      </c>
      <c r="I1057" s="165" t="e">
        <f>IF(Paid[[#This Row],[Currency]]="USD",Paid[[#This Row],[Montant]],Paid[[#This Row],[Montant]]/VLOOKUP(Paid[[#This Row],[Date Paid]],TableCurrencyRate[#All],2,FALSE))</f>
        <v>#N/A</v>
      </c>
    </row>
    <row r="1058" spans="2:9" x14ac:dyDescent="0.2">
      <c r="B1058" s="166">
        <v>44132</v>
      </c>
      <c r="C1058" s="161">
        <v>44062</v>
      </c>
      <c r="D1058" s="162"/>
      <c r="E1058" s="162"/>
      <c r="F1058" s="163" t="s">
        <v>1021</v>
      </c>
      <c r="G1058" s="164">
        <v>2028100</v>
      </c>
      <c r="H1058" s="164" t="s">
        <v>5</v>
      </c>
      <c r="I1058" s="165" t="e">
        <f>IF(Paid[[#This Row],[Currency]]="USD",Paid[[#This Row],[Montant]],Paid[[#This Row],[Montant]]/VLOOKUP(Paid[[#This Row],[Date Paid]],TableCurrencyRate[#All],2,FALSE))</f>
        <v>#N/A</v>
      </c>
    </row>
    <row r="1059" spans="2:9" x14ac:dyDescent="0.2">
      <c r="B1059" s="166">
        <v>44132</v>
      </c>
      <c r="C1059" s="161">
        <v>44132</v>
      </c>
      <c r="D1059" s="162"/>
      <c r="E1059" s="162"/>
      <c r="F1059" s="11" t="s">
        <v>1107</v>
      </c>
      <c r="G1059" s="164">
        <f>367000-68975</f>
        <v>298025</v>
      </c>
      <c r="H1059" s="18" t="s">
        <v>5</v>
      </c>
      <c r="I1059" s="165" t="e">
        <f>IF(Paid[[#This Row],[Currency]]="USD",Paid[[#This Row],[Montant]],Paid[[#This Row],[Montant]]/VLOOKUP(Paid[[#This Row],[Date Paid]],TableCurrencyRate[#All],2,FALSE))</f>
        <v>#N/A</v>
      </c>
    </row>
    <row r="1060" spans="2:9" x14ac:dyDescent="0.2">
      <c r="B1060" s="166">
        <v>44132</v>
      </c>
      <c r="C1060" s="161">
        <v>44132</v>
      </c>
      <c r="D1060" s="162"/>
      <c r="E1060" s="162"/>
      <c r="F1060" s="11" t="s">
        <v>1107</v>
      </c>
      <c r="G1060" s="164">
        <f>680000-626350</f>
        <v>53650</v>
      </c>
      <c r="H1060" s="18" t="s">
        <v>5</v>
      </c>
      <c r="I1060" s="165" t="e">
        <f>IF(Paid[[#This Row],[Currency]]="USD",Paid[[#This Row],[Montant]],Paid[[#This Row],[Montant]]/VLOOKUP(Paid[[#This Row],[Date Paid]],TableCurrencyRate[#All],2,FALSE))</f>
        <v>#N/A</v>
      </c>
    </row>
    <row r="1061" spans="2:9" x14ac:dyDescent="0.2">
      <c r="B1061" s="166">
        <v>44132</v>
      </c>
      <c r="C1061" s="161">
        <v>44132</v>
      </c>
      <c r="D1061" s="162"/>
      <c r="E1061" s="162"/>
      <c r="F1061" s="11" t="s">
        <v>1106</v>
      </c>
      <c r="G1061" s="164">
        <f>1403500-1306900</f>
        <v>96600</v>
      </c>
      <c r="H1061" s="18" t="s">
        <v>5</v>
      </c>
      <c r="I1061" s="165" t="e">
        <f>IF(Paid[[#This Row],[Currency]]="USD",Paid[[#This Row],[Montant]],Paid[[#This Row],[Montant]]/VLOOKUP(Paid[[#This Row],[Date Paid]],TableCurrencyRate[#All],2,FALSE))</f>
        <v>#N/A</v>
      </c>
    </row>
    <row r="1062" spans="2:9" x14ac:dyDescent="0.2">
      <c r="B1062" s="166">
        <v>44133</v>
      </c>
      <c r="C1062" s="161">
        <v>44133</v>
      </c>
      <c r="D1062" s="162"/>
      <c r="E1062" s="162"/>
      <c r="F1062" s="11" t="s">
        <v>1108</v>
      </c>
      <c r="G1062" s="164">
        <v>1812</v>
      </c>
      <c r="H1062" s="18" t="s">
        <v>6</v>
      </c>
      <c r="I1062" s="165">
        <f>IF(Paid[[#This Row],[Currency]]="USD",Paid[[#This Row],[Montant]],Paid[[#This Row],[Montant]]/VLOOKUP(Paid[[#This Row],[Date Paid]],TableCurrencyRate[#All],2,FALSE))</f>
        <v>1812</v>
      </c>
    </row>
    <row r="1063" spans="2:9" x14ac:dyDescent="0.2">
      <c r="B1063" s="166">
        <v>44138</v>
      </c>
      <c r="C1063" s="161">
        <v>44138</v>
      </c>
      <c r="D1063" s="162"/>
      <c r="E1063" s="162"/>
      <c r="F1063" s="11" t="s">
        <v>1109</v>
      </c>
      <c r="G1063" s="164">
        <f>365000+61600</f>
        <v>426600</v>
      </c>
      <c r="H1063" s="18" t="s">
        <v>5</v>
      </c>
      <c r="I1063" s="165" t="e">
        <f>IF(Paid[[#This Row],[Currency]]="USD",Paid[[#This Row],[Montant]],Paid[[#This Row],[Montant]]/VLOOKUP(Paid[[#This Row],[Date Paid]],TableCurrencyRate[#All],2,FALSE))</f>
        <v>#N/A</v>
      </c>
    </row>
    <row r="1064" spans="2:9" x14ac:dyDescent="0.2">
      <c r="B1064" s="166">
        <v>44138</v>
      </c>
      <c r="C1064" s="161">
        <v>44138</v>
      </c>
      <c r="D1064" s="162"/>
      <c r="E1064" s="162"/>
      <c r="F1064" s="11" t="s">
        <v>1110</v>
      </c>
      <c r="G1064" s="164">
        <v>112400</v>
      </c>
      <c r="H1064" s="18" t="s">
        <v>5</v>
      </c>
      <c r="I1064" s="165" t="e">
        <f>IF(Paid[[#This Row],[Currency]]="USD",Paid[[#This Row],[Montant]],Paid[[#This Row],[Montant]]/VLOOKUP(Paid[[#This Row],[Date Paid]],TableCurrencyRate[#All],2,FALSE))</f>
        <v>#N/A</v>
      </c>
    </row>
    <row r="1065" spans="2:9" x14ac:dyDescent="0.2">
      <c r="B1065" s="166">
        <v>44138</v>
      </c>
      <c r="C1065" s="161">
        <v>44138</v>
      </c>
      <c r="D1065" s="162"/>
      <c r="E1065" s="162"/>
      <c r="F1065" s="11" t="s">
        <v>1111</v>
      </c>
      <c r="G1065" s="164">
        <v>8000</v>
      </c>
      <c r="H1065" s="18" t="s">
        <v>5</v>
      </c>
      <c r="I1065" s="165" t="e">
        <f>IF(Paid[[#This Row],[Currency]]="USD",Paid[[#This Row],[Montant]],Paid[[#This Row],[Montant]]/VLOOKUP(Paid[[#This Row],[Date Paid]],TableCurrencyRate[#All],2,FALSE))</f>
        <v>#N/A</v>
      </c>
    </row>
    <row r="1066" spans="2:9" x14ac:dyDescent="0.2">
      <c r="B1066" s="166">
        <v>44139</v>
      </c>
      <c r="C1066" s="161">
        <v>44139</v>
      </c>
      <c r="D1066" s="162"/>
      <c r="E1066" s="162"/>
      <c r="F1066" s="11" t="s">
        <v>1112</v>
      </c>
      <c r="G1066" s="164">
        <v>6850760</v>
      </c>
      <c r="H1066" s="18" t="s">
        <v>5</v>
      </c>
      <c r="I1066" s="165" t="e">
        <f>IF(Paid[[#This Row],[Currency]]="USD",Paid[[#This Row],[Montant]],Paid[[#This Row],[Montant]]/VLOOKUP(Paid[[#This Row],[Date Paid]],TableCurrencyRate[#All],2,FALSE))</f>
        <v>#N/A</v>
      </c>
    </row>
    <row r="1067" spans="2:9" x14ac:dyDescent="0.2">
      <c r="B1067" s="166">
        <v>44140</v>
      </c>
      <c r="C1067" s="161">
        <v>44140</v>
      </c>
      <c r="D1067" s="162"/>
      <c r="E1067" s="162"/>
      <c r="F1067" s="11" t="s">
        <v>1113</v>
      </c>
      <c r="G1067" s="164">
        <v>34</v>
      </c>
      <c r="H1067" s="18" t="s">
        <v>6</v>
      </c>
      <c r="I1067" s="165">
        <f>IF(Paid[[#This Row],[Currency]]="USD",Paid[[#This Row],[Montant]],Paid[[#This Row],[Montant]]/VLOOKUP(Paid[[#This Row],[Date Paid]],TableCurrencyRate[#All],2,FALSE))</f>
        <v>34</v>
      </c>
    </row>
    <row r="1068" spans="2:9" x14ac:dyDescent="0.2">
      <c r="B1068" s="166">
        <v>44141</v>
      </c>
      <c r="C1068" s="161">
        <v>44141</v>
      </c>
      <c r="D1068" s="162"/>
      <c r="E1068" s="162"/>
      <c r="F1068" s="11" t="s">
        <v>1114</v>
      </c>
      <c r="G1068" s="164">
        <v>150000</v>
      </c>
      <c r="H1068" s="18" t="s">
        <v>5</v>
      </c>
      <c r="I1068" s="165" t="e">
        <f>IF(Paid[[#This Row],[Currency]]="USD",Paid[[#This Row],[Montant]],Paid[[#This Row],[Montant]]/VLOOKUP(Paid[[#This Row],[Date Paid]],TableCurrencyRate[#All],2,FALSE))</f>
        <v>#N/A</v>
      </c>
    </row>
    <row r="1069" spans="2:9" x14ac:dyDescent="0.2">
      <c r="B1069" s="166">
        <v>44141</v>
      </c>
      <c r="C1069" s="161">
        <v>44141</v>
      </c>
      <c r="D1069" s="162"/>
      <c r="E1069" s="162"/>
      <c r="F1069" s="11" t="s">
        <v>1115</v>
      </c>
      <c r="G1069" s="164">
        <v>200000</v>
      </c>
      <c r="H1069" s="18" t="s">
        <v>5</v>
      </c>
      <c r="I1069" s="165" t="e">
        <f>IF(Paid[[#This Row],[Currency]]="USD",Paid[[#This Row],[Montant]],Paid[[#This Row],[Montant]]/VLOOKUP(Paid[[#This Row],[Date Paid]],TableCurrencyRate[#All],2,FALSE))</f>
        <v>#N/A</v>
      </c>
    </row>
    <row r="1070" spans="2:9" x14ac:dyDescent="0.2">
      <c r="B1070" s="166">
        <v>44141</v>
      </c>
      <c r="C1070" s="161">
        <v>44141</v>
      </c>
      <c r="D1070" s="162"/>
      <c r="E1070" s="162"/>
      <c r="F1070" s="11" t="s">
        <v>1116</v>
      </c>
      <c r="G1070" s="164">
        <v>200000</v>
      </c>
      <c r="H1070" s="18" t="s">
        <v>5</v>
      </c>
      <c r="I1070" s="165" t="e">
        <f>IF(Paid[[#This Row],[Currency]]="USD",Paid[[#This Row],[Montant]],Paid[[#This Row],[Montant]]/VLOOKUP(Paid[[#This Row],[Date Paid]],TableCurrencyRate[#All],2,FALSE))</f>
        <v>#N/A</v>
      </c>
    </row>
    <row r="1071" spans="2:9" x14ac:dyDescent="0.2">
      <c r="B1071" s="166">
        <v>44145</v>
      </c>
      <c r="C1071" s="161">
        <v>44145</v>
      </c>
      <c r="D1071" s="162"/>
      <c r="E1071" s="162"/>
      <c r="F1071" s="11" t="s">
        <v>863</v>
      </c>
      <c r="G1071" s="164">
        <f>250000+350000</f>
        <v>600000</v>
      </c>
      <c r="H1071" s="18" t="s">
        <v>5</v>
      </c>
      <c r="I1071" s="165" t="e">
        <f>IF(Paid[[#This Row],[Currency]]="USD",Paid[[#This Row],[Montant]],Paid[[#This Row],[Montant]]/VLOOKUP(Paid[[#This Row],[Date Paid]],TableCurrencyRate[#All],2,FALSE))</f>
        <v>#N/A</v>
      </c>
    </row>
    <row r="1072" spans="2:9" x14ac:dyDescent="0.2">
      <c r="B1072" s="166">
        <v>44145</v>
      </c>
      <c r="C1072" s="161">
        <v>44145</v>
      </c>
      <c r="D1072" s="162"/>
      <c r="E1072" s="162"/>
      <c r="F1072" s="11" t="s">
        <v>1117</v>
      </c>
      <c r="G1072" s="164">
        <f>456000-118600</f>
        <v>337400</v>
      </c>
      <c r="H1072" s="18" t="s">
        <v>5</v>
      </c>
      <c r="I1072" s="165" t="e">
        <f>IF(Paid[[#This Row],[Currency]]="USD",Paid[[#This Row],[Montant]],Paid[[#This Row],[Montant]]/VLOOKUP(Paid[[#This Row],[Date Paid]],TableCurrencyRate[#All],2,FALSE))</f>
        <v>#N/A</v>
      </c>
    </row>
    <row r="1073" spans="2:9" x14ac:dyDescent="0.2">
      <c r="B1073" s="166">
        <v>44146</v>
      </c>
      <c r="C1073" s="161">
        <v>44146</v>
      </c>
      <c r="D1073" s="162"/>
      <c r="E1073" s="162"/>
      <c r="F1073" s="11" t="s">
        <v>1118</v>
      </c>
      <c r="G1073" s="164">
        <v>3000</v>
      </c>
      <c r="H1073" s="18" t="s">
        <v>6</v>
      </c>
      <c r="I1073" s="165">
        <f>IF(Paid[[#This Row],[Currency]]="USD",Paid[[#This Row],[Montant]],Paid[[#This Row],[Montant]]/VLOOKUP(Paid[[#This Row],[Date Paid]],TableCurrencyRate[#All],2,FALSE))</f>
        <v>3000</v>
      </c>
    </row>
    <row r="1074" spans="2:9" x14ac:dyDescent="0.2">
      <c r="B1074" s="166">
        <v>44147</v>
      </c>
      <c r="C1074" s="161">
        <v>44147</v>
      </c>
      <c r="D1074" s="162"/>
      <c r="E1074" s="162"/>
      <c r="F1074" s="11" t="s">
        <v>827</v>
      </c>
      <c r="G1074" s="164">
        <v>173880</v>
      </c>
      <c r="H1074" s="18" t="s">
        <v>5</v>
      </c>
      <c r="I1074" s="165" t="e">
        <f>IF(Paid[[#This Row],[Currency]]="USD",Paid[[#This Row],[Montant]],Paid[[#This Row],[Montant]]/VLOOKUP(Paid[[#This Row],[Date Paid]],TableCurrencyRate[#All],2,FALSE))</f>
        <v>#N/A</v>
      </c>
    </row>
    <row r="1075" spans="2:9" x14ac:dyDescent="0.2">
      <c r="B1075" s="166">
        <v>44151</v>
      </c>
      <c r="C1075" s="161">
        <v>44151</v>
      </c>
      <c r="D1075" s="162"/>
      <c r="E1075" s="162"/>
      <c r="F1075" s="11" t="s">
        <v>1119</v>
      </c>
      <c r="G1075" s="164">
        <v>30200</v>
      </c>
      <c r="H1075" s="18" t="s">
        <v>5</v>
      </c>
      <c r="I1075" s="165" t="e">
        <f>IF(Paid[[#This Row],[Currency]]="USD",Paid[[#This Row],[Montant]],Paid[[#This Row],[Montant]]/VLOOKUP(Paid[[#This Row],[Date Paid]],TableCurrencyRate[#All],2,FALSE))</f>
        <v>#N/A</v>
      </c>
    </row>
    <row r="1076" spans="2:9" x14ac:dyDescent="0.2">
      <c r="B1076" s="166">
        <v>44151</v>
      </c>
      <c r="C1076" s="161">
        <v>44151</v>
      </c>
      <c r="D1076" s="162"/>
      <c r="E1076" s="162"/>
      <c r="F1076" s="11" t="s">
        <v>1120</v>
      </c>
      <c r="G1076" s="164">
        <v>14500</v>
      </c>
      <c r="H1076" s="18" t="s">
        <v>5</v>
      </c>
      <c r="I1076" s="165" t="e">
        <f>IF(Paid[[#This Row],[Currency]]="USD",Paid[[#This Row],[Montant]],Paid[[#This Row],[Montant]]/VLOOKUP(Paid[[#This Row],[Date Paid]],TableCurrencyRate[#All],2,FALSE))</f>
        <v>#N/A</v>
      </c>
    </row>
    <row r="1077" spans="2:9" x14ac:dyDescent="0.2">
      <c r="B1077" s="166">
        <v>44151</v>
      </c>
      <c r="C1077" s="161">
        <v>44151</v>
      </c>
      <c r="D1077" s="162"/>
      <c r="E1077" s="162"/>
      <c r="F1077" s="11" t="s">
        <v>1121</v>
      </c>
      <c r="G1077" s="164">
        <f>150000+600</f>
        <v>150600</v>
      </c>
      <c r="H1077" s="18" t="s">
        <v>5</v>
      </c>
      <c r="I1077" s="165" t="e">
        <f>IF(Paid[[#This Row],[Currency]]="USD",Paid[[#This Row],[Montant]],Paid[[#This Row],[Montant]]/VLOOKUP(Paid[[#This Row],[Date Paid]],TableCurrencyRate[#All],2,FALSE))</f>
        <v>#N/A</v>
      </c>
    </row>
    <row r="1078" spans="2:9" x14ac:dyDescent="0.2">
      <c r="B1078" s="166">
        <v>44151</v>
      </c>
      <c r="C1078" s="161">
        <v>44151</v>
      </c>
      <c r="D1078" s="162"/>
      <c r="E1078" s="162"/>
      <c r="F1078" s="11" t="s">
        <v>1122</v>
      </c>
      <c r="G1078" s="164">
        <f>17750+950</f>
        <v>18700</v>
      </c>
      <c r="H1078" s="18" t="s">
        <v>5</v>
      </c>
      <c r="I1078" s="165" t="e">
        <f>IF(Paid[[#This Row],[Currency]]="USD",Paid[[#This Row],[Montant]],Paid[[#This Row],[Montant]]/VLOOKUP(Paid[[#This Row],[Date Paid]],TableCurrencyRate[#All],2,FALSE))</f>
        <v>#N/A</v>
      </c>
    </row>
    <row r="1079" spans="2:9" x14ac:dyDescent="0.2">
      <c r="B1079" s="166">
        <v>44151</v>
      </c>
      <c r="C1079" s="13">
        <v>44145</v>
      </c>
      <c r="D1079" s="14"/>
      <c r="E1079" s="14"/>
      <c r="F1079" s="15" t="s">
        <v>1104</v>
      </c>
      <c r="G1079" s="173">
        <f>82000-23900</f>
        <v>58100</v>
      </c>
      <c r="H1079" s="16" t="s">
        <v>5</v>
      </c>
      <c r="I1079" s="165" t="e">
        <f>IF(Paid[[#This Row],[Currency]]="USD",Paid[[#This Row],[Montant]],Paid[[#This Row],[Montant]]/VLOOKUP(Paid[[#This Row],[Date Paid]],TableCurrencyRate[#All],2,FALSE))</f>
        <v>#N/A</v>
      </c>
    </row>
    <row r="1080" spans="2:9" x14ac:dyDescent="0.2">
      <c r="B1080" s="166">
        <v>44151</v>
      </c>
      <c r="C1080" s="161">
        <v>44151</v>
      </c>
      <c r="D1080" s="162"/>
      <c r="E1080" s="162"/>
      <c r="F1080" s="163" t="s">
        <v>1103</v>
      </c>
      <c r="G1080" s="164">
        <f>20000+1150</f>
        <v>21150</v>
      </c>
      <c r="H1080" s="164" t="s">
        <v>5</v>
      </c>
      <c r="I1080" s="165" t="e">
        <f>IF(Paid[[#This Row],[Currency]]="USD",Paid[[#This Row],[Montant]],Paid[[#This Row],[Montant]]/VLOOKUP(Paid[[#This Row],[Date Paid]],TableCurrencyRate[#All],2,FALSE))</f>
        <v>#N/A</v>
      </c>
    </row>
    <row r="1081" spans="2:9" x14ac:dyDescent="0.2">
      <c r="B1081" s="166">
        <v>44151</v>
      </c>
      <c r="C1081" s="161">
        <v>44151</v>
      </c>
      <c r="D1081" s="162"/>
      <c r="E1081" s="162"/>
      <c r="F1081" s="163" t="s">
        <v>1100</v>
      </c>
      <c r="G1081" s="164">
        <f>91000-3700</f>
        <v>87300</v>
      </c>
      <c r="H1081" s="164" t="s">
        <v>5</v>
      </c>
      <c r="I1081" s="165" t="e">
        <f>IF(Paid[[#This Row],[Currency]]="USD",Paid[[#This Row],[Montant]],Paid[[#This Row],[Montant]]/VLOOKUP(Paid[[#This Row],[Date Paid]],TableCurrencyRate[#All],2,FALSE))</f>
        <v>#N/A</v>
      </c>
    </row>
    <row r="1082" spans="2:9" x14ac:dyDescent="0.2">
      <c r="B1082" s="166">
        <v>44151</v>
      </c>
      <c r="C1082" s="161">
        <v>44144</v>
      </c>
      <c r="D1082" s="162"/>
      <c r="E1082" s="162"/>
      <c r="F1082" s="163" t="s">
        <v>1100</v>
      </c>
      <c r="G1082" s="164">
        <f>88000-7150</f>
        <v>80850</v>
      </c>
      <c r="H1082" s="164" t="s">
        <v>5</v>
      </c>
      <c r="I1082" s="165" t="e">
        <f>IF(Paid[[#This Row],[Currency]]="USD",Paid[[#This Row],[Montant]],Paid[[#This Row],[Montant]]/VLOOKUP(Paid[[#This Row],[Date Paid]],TableCurrencyRate[#All],2,FALSE))</f>
        <v>#N/A</v>
      </c>
    </row>
    <row r="1083" spans="2:9" x14ac:dyDescent="0.2">
      <c r="B1083" s="166">
        <v>44151</v>
      </c>
      <c r="C1083" s="161">
        <v>44151</v>
      </c>
      <c r="D1083" s="162"/>
      <c r="E1083" s="162"/>
      <c r="F1083" s="163" t="s">
        <v>1099</v>
      </c>
      <c r="G1083" s="164">
        <f>45000-900</f>
        <v>44100</v>
      </c>
      <c r="H1083" s="164" t="s">
        <v>5</v>
      </c>
      <c r="I1083" s="165" t="e">
        <f>IF(Paid[[#This Row],[Currency]]="USD",Paid[[#This Row],[Montant]],Paid[[#This Row],[Montant]]/VLOOKUP(Paid[[#This Row],[Date Paid]],TableCurrencyRate[#All],2,FALSE))</f>
        <v>#N/A</v>
      </c>
    </row>
    <row r="1084" spans="2:9" x14ac:dyDescent="0.2">
      <c r="B1084" s="166">
        <v>44151</v>
      </c>
      <c r="C1084" s="161">
        <v>44141</v>
      </c>
      <c r="D1084" s="162"/>
      <c r="E1084" s="162"/>
      <c r="F1084" s="163" t="s">
        <v>1102</v>
      </c>
      <c r="G1084" s="164">
        <f>257100+4350</f>
        <v>261450</v>
      </c>
      <c r="H1084" s="164" t="s">
        <v>5</v>
      </c>
      <c r="I1084" s="165" t="e">
        <f>IF(Paid[[#This Row],[Currency]]="USD",Paid[[#This Row],[Montant]],Paid[[#This Row],[Montant]]/VLOOKUP(Paid[[#This Row],[Date Paid]],TableCurrencyRate[#All],2,FALSE))</f>
        <v>#N/A</v>
      </c>
    </row>
    <row r="1085" spans="2:9" x14ac:dyDescent="0.2">
      <c r="B1085" s="166">
        <v>44152</v>
      </c>
      <c r="C1085" s="161">
        <v>44152</v>
      </c>
      <c r="D1085" s="162"/>
      <c r="E1085" s="162"/>
      <c r="F1085" s="11" t="s">
        <v>29</v>
      </c>
      <c r="G1085" s="164">
        <v>95000</v>
      </c>
      <c r="H1085" s="18" t="s">
        <v>5</v>
      </c>
      <c r="I1085" s="165" t="e">
        <f>IF(Paid[[#This Row],[Currency]]="USD",Paid[[#This Row],[Montant]],Paid[[#This Row],[Montant]]/VLOOKUP(Paid[[#This Row],[Date Paid]],TableCurrencyRate[#All],2,FALSE))</f>
        <v>#N/A</v>
      </c>
    </row>
    <row r="1086" spans="2:9" x14ac:dyDescent="0.2">
      <c r="B1086" s="166">
        <v>44152</v>
      </c>
      <c r="C1086" s="13">
        <v>44151</v>
      </c>
      <c r="D1086" s="14"/>
      <c r="E1086" s="14"/>
      <c r="F1086" s="15" t="s">
        <v>1101</v>
      </c>
      <c r="G1086" s="173">
        <f>278000-4000</f>
        <v>274000</v>
      </c>
      <c r="H1086" s="16" t="s">
        <v>5</v>
      </c>
      <c r="I1086" s="165" t="e">
        <f>IF(Paid[[#This Row],[Currency]]="USD",Paid[[#This Row],[Montant]],Paid[[#This Row],[Montant]]/VLOOKUP(Paid[[#This Row],[Date Paid]],TableCurrencyRate[#All],2,FALSE))</f>
        <v>#N/A</v>
      </c>
    </row>
    <row r="1087" spans="2:9" x14ac:dyDescent="0.2">
      <c r="B1087" s="166">
        <v>44154</v>
      </c>
      <c r="C1087" s="13">
        <v>44011</v>
      </c>
      <c r="D1087" s="14" t="s">
        <v>786</v>
      </c>
      <c r="E1087" s="14" t="s">
        <v>887</v>
      </c>
      <c r="F1087" s="15" t="s">
        <v>1042</v>
      </c>
      <c r="G1087" s="21">
        <v>1700000</v>
      </c>
      <c r="H1087" s="16" t="s">
        <v>5</v>
      </c>
      <c r="I1087" s="165" t="e">
        <f>IF(Paid[[#This Row],[Currency]]="USD",Paid[[#This Row],[Montant]],Paid[[#This Row],[Montant]]/VLOOKUP(Paid[[#This Row],[Date Paid]],TableCurrencyRate[#All],2,FALSE))</f>
        <v>#N/A</v>
      </c>
    </row>
    <row r="1088" spans="2:9" x14ac:dyDescent="0.2">
      <c r="B1088" s="166">
        <v>44154</v>
      </c>
      <c r="C1088" s="161">
        <v>44154</v>
      </c>
      <c r="D1088" s="10" t="s">
        <v>786</v>
      </c>
      <c r="E1088" s="162"/>
      <c r="F1088" s="11" t="s">
        <v>1123</v>
      </c>
      <c r="G1088" s="164">
        <v>34653000</v>
      </c>
      <c r="H1088" s="18" t="s">
        <v>5</v>
      </c>
      <c r="I1088" s="165" t="e">
        <f>IF(Paid[[#This Row],[Currency]]="USD",Paid[[#This Row],[Montant]],Paid[[#This Row],[Montant]]/VLOOKUP(Paid[[#This Row],[Date Paid]],TableCurrencyRate[#All],2,FALSE))</f>
        <v>#N/A</v>
      </c>
    </row>
    <row r="1089" spans="2:9" x14ac:dyDescent="0.2">
      <c r="B1089" s="166">
        <v>44155</v>
      </c>
      <c r="C1089" s="161">
        <v>44155</v>
      </c>
      <c r="D1089" s="162"/>
      <c r="E1089" s="162"/>
      <c r="F1089" s="11" t="s">
        <v>1124</v>
      </c>
      <c r="G1089" s="164">
        <v>500000</v>
      </c>
      <c r="H1089" s="18" t="s">
        <v>5</v>
      </c>
      <c r="I1089" s="165" t="e">
        <f>IF(Paid[[#This Row],[Currency]]="USD",Paid[[#This Row],[Montant]],Paid[[#This Row],[Montant]]/VLOOKUP(Paid[[#This Row],[Date Paid]],TableCurrencyRate[#All],2,FALSE))</f>
        <v>#N/A</v>
      </c>
    </row>
    <row r="1090" spans="2:9" x14ac:dyDescent="0.2">
      <c r="B1090" s="166">
        <v>44152</v>
      </c>
      <c r="C1090" s="13">
        <v>44098</v>
      </c>
      <c r="D1090" s="14"/>
      <c r="E1090" s="14"/>
      <c r="F1090" s="15" t="s">
        <v>1043</v>
      </c>
      <c r="G1090" s="78">
        <v>180000</v>
      </c>
      <c r="H1090" s="16" t="s">
        <v>5</v>
      </c>
      <c r="I1090" s="165" t="e">
        <f>IF(Paid[[#This Row],[Currency]]="USD",Paid[[#This Row],[Montant]],Paid[[#This Row],[Montant]]/VLOOKUP(Paid[[#This Row],[Date Paid]],TableCurrencyRate[#All],2,FALSE))</f>
        <v>#N/A</v>
      </c>
    </row>
    <row r="1091" spans="2:9" x14ac:dyDescent="0.2">
      <c r="B1091" s="166">
        <v>44152</v>
      </c>
      <c r="C1091" s="13">
        <v>44155</v>
      </c>
      <c r="D1091" s="14"/>
      <c r="E1091" s="14"/>
      <c r="F1091" s="15" t="s">
        <v>1125</v>
      </c>
      <c r="G1091" s="174">
        <v>313900</v>
      </c>
      <c r="H1091" s="16" t="s">
        <v>5</v>
      </c>
      <c r="I1091" s="165" t="e">
        <f>IF(Paid[[#This Row],[Currency]]="USD",Paid[[#This Row],[Montant]],Paid[[#This Row],[Montant]]/VLOOKUP(Paid[[#This Row],[Date Paid]],TableCurrencyRate[#All],2,FALSE))</f>
        <v>#N/A</v>
      </c>
    </row>
    <row r="1092" spans="2:9" x14ac:dyDescent="0.2">
      <c r="B1092" s="166">
        <v>44152</v>
      </c>
      <c r="C1092" s="13">
        <v>44155</v>
      </c>
      <c r="D1092" s="14"/>
      <c r="E1092" s="14"/>
      <c r="F1092" s="15" t="s">
        <v>1126</v>
      </c>
      <c r="G1092" s="174">
        <f>307700-10100</f>
        <v>297600</v>
      </c>
      <c r="H1092" s="16" t="s">
        <v>5</v>
      </c>
      <c r="I1092" s="165" t="e">
        <f>IF(Paid[[#This Row],[Currency]]="USD",Paid[[#This Row],[Montant]],Paid[[#This Row],[Montant]]/VLOOKUP(Paid[[#This Row],[Date Paid]],TableCurrencyRate[#All],2,FALSE))</f>
        <v>#N/A</v>
      </c>
    </row>
    <row r="1093" spans="2:9" x14ac:dyDescent="0.2">
      <c r="B1093" s="166">
        <v>44152</v>
      </c>
      <c r="C1093" s="13">
        <v>44144</v>
      </c>
      <c r="D1093" s="14"/>
      <c r="E1093" s="14"/>
      <c r="F1093" s="15" t="s">
        <v>1127</v>
      </c>
      <c r="G1093" s="174">
        <v>37000</v>
      </c>
      <c r="H1093" s="16" t="s">
        <v>5</v>
      </c>
      <c r="I1093" s="165" t="e">
        <f>IF(Paid[[#This Row],[Currency]]="USD",Paid[[#This Row],[Montant]],Paid[[#This Row],[Montant]]/VLOOKUP(Paid[[#This Row],[Date Paid]],TableCurrencyRate[#All],2,FALSE))</f>
        <v>#N/A</v>
      </c>
    </row>
    <row r="1094" spans="2:9" x14ac:dyDescent="0.2">
      <c r="B1094" s="166">
        <v>44152</v>
      </c>
      <c r="C1094" s="13">
        <v>44144</v>
      </c>
      <c r="D1094" s="14"/>
      <c r="E1094" s="14"/>
      <c r="F1094" s="15" t="s">
        <v>1128</v>
      </c>
      <c r="G1094" s="174">
        <v>12000</v>
      </c>
      <c r="H1094" s="16" t="s">
        <v>5</v>
      </c>
      <c r="I1094" s="165" t="e">
        <f>IF(Paid[[#This Row],[Currency]]="USD",Paid[[#This Row],[Montant]],Paid[[#This Row],[Montant]]/VLOOKUP(Paid[[#This Row],[Date Paid]],TableCurrencyRate[#All],2,FALSE))</f>
        <v>#N/A</v>
      </c>
    </row>
    <row r="1095" spans="2:9" x14ac:dyDescent="0.2">
      <c r="B1095" s="166">
        <v>44152</v>
      </c>
      <c r="C1095" s="13">
        <v>44145</v>
      </c>
      <c r="D1095" s="14"/>
      <c r="E1095" s="14"/>
      <c r="F1095" s="15" t="s">
        <v>1129</v>
      </c>
      <c r="G1095" s="174">
        <f>85100-28400</f>
        <v>56700</v>
      </c>
      <c r="H1095" s="16" t="s">
        <v>5</v>
      </c>
      <c r="I1095" s="165" t="e">
        <f>IF(Paid[[#This Row],[Currency]]="USD",Paid[[#This Row],[Montant]],Paid[[#This Row],[Montant]]/VLOOKUP(Paid[[#This Row],[Date Paid]],TableCurrencyRate[#All],2,FALSE))</f>
        <v>#N/A</v>
      </c>
    </row>
    <row r="1096" spans="2:9" x14ac:dyDescent="0.2">
      <c r="B1096" s="166">
        <v>44152</v>
      </c>
      <c r="C1096" s="13">
        <v>44153</v>
      </c>
      <c r="D1096" s="14"/>
      <c r="E1096" s="14"/>
      <c r="F1096" s="15" t="s">
        <v>1130</v>
      </c>
      <c r="G1096" s="174">
        <f>366000-106000</f>
        <v>260000</v>
      </c>
      <c r="H1096" s="16" t="s">
        <v>5</v>
      </c>
      <c r="I1096" s="165" t="e">
        <f>IF(Paid[[#This Row],[Currency]]="USD",Paid[[#This Row],[Montant]],Paid[[#This Row],[Montant]]/VLOOKUP(Paid[[#This Row],[Date Paid]],TableCurrencyRate[#All],2,FALSE))</f>
        <v>#N/A</v>
      </c>
    </row>
    <row r="1097" spans="2:9" x14ac:dyDescent="0.2">
      <c r="B1097" s="166">
        <v>44152</v>
      </c>
      <c r="C1097" s="13">
        <v>44155</v>
      </c>
      <c r="D1097" s="14"/>
      <c r="E1097" s="14"/>
      <c r="F1097" s="15" t="s">
        <v>1131</v>
      </c>
      <c r="G1097" s="174">
        <f>20000+2400</f>
        <v>22400</v>
      </c>
      <c r="H1097" s="16" t="s">
        <v>5</v>
      </c>
      <c r="I1097" s="165" t="e">
        <f>IF(Paid[[#This Row],[Currency]]="USD",Paid[[#This Row],[Montant]],Paid[[#This Row],[Montant]]/VLOOKUP(Paid[[#This Row],[Date Paid]],TableCurrencyRate[#All],2,FALSE))</f>
        <v>#N/A</v>
      </c>
    </row>
    <row r="1098" spans="2:9" x14ac:dyDescent="0.2">
      <c r="B1098" s="12">
        <v>44156</v>
      </c>
      <c r="C1098" s="13">
        <v>44002</v>
      </c>
      <c r="D1098" s="14" t="s">
        <v>1000</v>
      </c>
      <c r="E1098" s="14"/>
      <c r="F1098" s="15" t="s">
        <v>708</v>
      </c>
      <c r="G1098" s="78">
        <v>250000</v>
      </c>
      <c r="H1098" s="16" t="s">
        <v>5</v>
      </c>
      <c r="I1098" s="19" t="e">
        <f>IF(Paid[[#This Row],[Currency]]="USD",Paid[[#This Row],[Montant]],Paid[[#This Row],[Montant]]/VLOOKUP(Paid[[#This Row],[Date Paid]],TableCurrencyRate[#All],2,FALSE))</f>
        <v>#N/A</v>
      </c>
    </row>
    <row r="1099" spans="2:9" x14ac:dyDescent="0.2">
      <c r="B1099" s="12">
        <v>44156</v>
      </c>
      <c r="C1099" s="9">
        <v>43995</v>
      </c>
      <c r="D1099" s="10" t="s">
        <v>1000</v>
      </c>
      <c r="E1099" s="10"/>
      <c r="F1099" s="11" t="s">
        <v>910</v>
      </c>
      <c r="G1099" s="18">
        <v>142810</v>
      </c>
      <c r="H1099" s="18" t="s">
        <v>5</v>
      </c>
      <c r="I1099" s="19" t="e">
        <f>IF(Paid[[#This Row],[Currency]]="USD",Paid[[#This Row],[Montant]],Paid[[#This Row],[Montant]]/VLOOKUP(Paid[[#This Row],[Date Paid]],TableCurrencyRate[#All],2,FALSE))</f>
        <v>#N/A</v>
      </c>
    </row>
    <row r="1100" spans="2:9" x14ac:dyDescent="0.2">
      <c r="B1100" s="12">
        <v>44156</v>
      </c>
      <c r="C1100" s="13">
        <v>44156</v>
      </c>
      <c r="D1100" s="14"/>
      <c r="E1100" s="14"/>
      <c r="F1100" s="15" t="s">
        <v>1132</v>
      </c>
      <c r="G1100" s="173">
        <f>192000+86000</f>
        <v>278000</v>
      </c>
      <c r="H1100" s="16" t="s">
        <v>5</v>
      </c>
      <c r="I1100" s="19" t="e">
        <f>IF(Paid[[#This Row],[Currency]]="USD",Paid[[#This Row],[Montant]],Paid[[#This Row],[Montant]]/VLOOKUP(Paid[[#This Row],[Date Paid]],TableCurrencyRate[#All],2,FALSE))</f>
        <v>#N/A</v>
      </c>
    </row>
    <row r="1101" spans="2:9" x14ac:dyDescent="0.2">
      <c r="B1101" s="12">
        <v>44159</v>
      </c>
      <c r="C1101" s="13">
        <v>44158</v>
      </c>
      <c r="D1101" s="14" t="s">
        <v>279</v>
      </c>
      <c r="E1101" s="14" t="s">
        <v>813</v>
      </c>
      <c r="F1101" s="15" t="s">
        <v>1134</v>
      </c>
      <c r="G1101" s="173">
        <v>313900</v>
      </c>
      <c r="H1101" s="16" t="s">
        <v>5</v>
      </c>
      <c r="I1101" s="19" t="e">
        <f>IF(Paid[[#This Row],[Currency]]="USD",Paid[[#This Row],[Montant]],Paid[[#This Row],[Montant]]/VLOOKUP(Paid[[#This Row],[Date Paid]],TableCurrencyRate[#All],2,FALSE))</f>
        <v>#N/A</v>
      </c>
    </row>
    <row r="1102" spans="2:9" x14ac:dyDescent="0.2">
      <c r="B1102" s="12">
        <v>44159</v>
      </c>
      <c r="C1102" s="9">
        <v>44159</v>
      </c>
      <c r="D1102" s="10"/>
      <c r="E1102" s="10" t="s">
        <v>1135</v>
      </c>
      <c r="F1102" s="11" t="s">
        <v>1126</v>
      </c>
      <c r="G1102" s="18">
        <f>155500+18550</f>
        <v>174050</v>
      </c>
      <c r="H1102" s="18" t="s">
        <v>5</v>
      </c>
      <c r="I1102" s="19" t="e">
        <f>IF(Paid[[#This Row],[Currency]]="USD",Paid[[#This Row],[Montant]],Paid[[#This Row],[Montant]]/VLOOKUP(Paid[[#This Row],[Date Paid]],TableCurrencyRate[#All],2,FALSE))</f>
        <v>#N/A</v>
      </c>
    </row>
    <row r="1103" spans="2:9" x14ac:dyDescent="0.2">
      <c r="B1103" s="181">
        <v>44166</v>
      </c>
      <c r="C1103" s="13">
        <v>44167</v>
      </c>
      <c r="D1103" s="14"/>
      <c r="E1103" s="14" t="s">
        <v>813</v>
      </c>
      <c r="F1103" s="15" t="s">
        <v>1137</v>
      </c>
      <c r="G1103" s="77">
        <f>468000-139000</f>
        <v>329000</v>
      </c>
      <c r="H1103" s="16" t="s">
        <v>5</v>
      </c>
      <c r="I1103" s="180" t="e">
        <f>IF(Paid[[#This Row],[Currency]]="USD",Paid[[#This Row],[Montant]],Paid[[#This Row],[Montant]]/VLOOKUP(Paid[[#This Row],[Date Paid]],TableCurrencyRate[#All],2,FALSE))</f>
        <v>#N/A</v>
      </c>
    </row>
    <row r="1104" spans="2:9" x14ac:dyDescent="0.2">
      <c r="B1104" s="181">
        <v>44167</v>
      </c>
      <c r="C1104" s="176">
        <v>44167</v>
      </c>
      <c r="D1104" s="10" t="s">
        <v>279</v>
      </c>
      <c r="E1104" s="10" t="s">
        <v>813</v>
      </c>
      <c r="F1104" s="11" t="s">
        <v>827</v>
      </c>
      <c r="G1104" s="179">
        <v>346500</v>
      </c>
      <c r="H1104" s="18" t="s">
        <v>5</v>
      </c>
      <c r="I1104" s="180" t="e">
        <f>IF(Paid[[#This Row],[Currency]]="USD",Paid[[#This Row],[Montant]],Paid[[#This Row],[Montant]]/VLOOKUP(Paid[[#This Row],[Date Paid]],TableCurrencyRate[#All],2,FALSE))</f>
        <v>#N/A</v>
      </c>
    </row>
    <row r="1105" spans="2:11" x14ac:dyDescent="0.2">
      <c r="B1105" s="12">
        <v>44167</v>
      </c>
      <c r="C1105" s="13">
        <v>44158</v>
      </c>
      <c r="D1105" s="14"/>
      <c r="E1105" s="14" t="s">
        <v>813</v>
      </c>
      <c r="F1105" s="15" t="s">
        <v>1133</v>
      </c>
      <c r="G1105" s="173">
        <f>246100-160000-18100</f>
        <v>68000</v>
      </c>
      <c r="H1105" s="16" t="s">
        <v>5</v>
      </c>
      <c r="I1105" s="19" t="e">
        <f>IF(Paid[[#This Row],[Currency]]="USD",Paid[[#This Row],[Montant]],Paid[[#This Row],[Montant]]/VLOOKUP(Paid[[#This Row],[Date Paid]],TableCurrencyRate[#All],2,FALSE))</f>
        <v>#N/A</v>
      </c>
    </row>
    <row r="1106" spans="2:11" x14ac:dyDescent="0.2">
      <c r="B1106" s="181">
        <v>44167</v>
      </c>
      <c r="C1106" s="9">
        <v>44161</v>
      </c>
      <c r="D1106" s="10"/>
      <c r="E1106" s="10" t="s">
        <v>1135</v>
      </c>
      <c r="F1106" s="11" t="s">
        <v>1139</v>
      </c>
      <c r="G1106" s="18">
        <f>167500-91000</f>
        <v>76500</v>
      </c>
      <c r="H1106" s="18" t="s">
        <v>5</v>
      </c>
      <c r="I1106" s="19" t="e">
        <f>IF(Paid[[#This Row],[Currency]]="USD",Paid[[#This Row],[Montant]],Paid[[#This Row],[Montant]]/VLOOKUP(Paid[[#This Row],[Date Paid]],TableCurrencyRate[#All],2,FALSE))</f>
        <v>#N/A</v>
      </c>
    </row>
    <row r="1107" spans="2:11" x14ac:dyDescent="0.2">
      <c r="B1107" s="12">
        <v>44167</v>
      </c>
      <c r="C1107" s="9">
        <v>44167</v>
      </c>
      <c r="D1107" s="10"/>
      <c r="E1107" s="10" t="s">
        <v>813</v>
      </c>
      <c r="F1107" s="11" t="s">
        <v>1140</v>
      </c>
      <c r="G1107" s="18">
        <f>95100-7700</f>
        <v>87400</v>
      </c>
      <c r="H1107" s="18" t="s">
        <v>5</v>
      </c>
      <c r="I1107" s="19" t="e">
        <f>IF(Paid[[#This Row],[Currency]]="USD",Paid[[#This Row],[Montant]],Paid[[#This Row],[Montant]]/VLOOKUP(Paid[[#This Row],[Date Paid]],TableCurrencyRate[#All],2,FALSE))</f>
        <v>#N/A</v>
      </c>
    </row>
    <row r="1108" spans="2:11" x14ac:dyDescent="0.2">
      <c r="B1108" s="181">
        <v>44167</v>
      </c>
      <c r="C1108" s="9">
        <v>44167</v>
      </c>
      <c r="D1108" s="10"/>
      <c r="E1108" s="10" t="s">
        <v>650</v>
      </c>
      <c r="F1108" s="11" t="s">
        <v>1141</v>
      </c>
      <c r="G1108" s="18">
        <f>65400+17500</f>
        <v>82900</v>
      </c>
      <c r="H1108" s="18" t="s">
        <v>5</v>
      </c>
      <c r="I1108" s="19" t="e">
        <f>IF(Paid[[#This Row],[Currency]]="USD",Paid[[#This Row],[Montant]],Paid[[#This Row],[Montant]]/VLOOKUP(Paid[[#This Row],[Date Paid]],TableCurrencyRate[#All],2,FALSE))</f>
        <v>#N/A</v>
      </c>
    </row>
    <row r="1109" spans="2:11" x14ac:dyDescent="0.2">
      <c r="B1109" s="12">
        <v>44167</v>
      </c>
      <c r="C1109" s="9">
        <v>44167</v>
      </c>
      <c r="D1109" s="10"/>
      <c r="E1109" s="10" t="s">
        <v>813</v>
      </c>
      <c r="F1109" s="11" t="s">
        <v>1136</v>
      </c>
      <c r="G1109" s="18">
        <f>71250-3750</f>
        <v>67500</v>
      </c>
      <c r="H1109" s="18" t="s">
        <v>5</v>
      </c>
      <c r="I1109" s="19" t="e">
        <f>IF(Paid[[#This Row],[Currency]]="USD",Paid[[#This Row],[Montant]],Paid[[#This Row],[Montant]]/VLOOKUP(Paid[[#This Row],[Date Paid]],TableCurrencyRate[#All],2,FALSE))</f>
        <v>#N/A</v>
      </c>
    </row>
    <row r="1110" spans="2:11" x14ac:dyDescent="0.2">
      <c r="B1110" s="181">
        <v>44167</v>
      </c>
      <c r="C1110" s="9">
        <v>44167</v>
      </c>
      <c r="D1110" s="10"/>
      <c r="E1110" s="10" t="s">
        <v>813</v>
      </c>
      <c r="F1110" s="11" t="s">
        <v>1138</v>
      </c>
      <c r="G1110" s="18">
        <f>255300-6250</f>
        <v>249050</v>
      </c>
      <c r="H1110" s="18" t="s">
        <v>5</v>
      </c>
      <c r="I1110" s="19" t="e">
        <f>IF(Paid[[#This Row],[Currency]]="USD",Paid[[#This Row],[Montant]],Paid[[#This Row],[Montant]]/VLOOKUP(Paid[[#This Row],[Date Paid]],TableCurrencyRate[#All],2,FALSE))</f>
        <v>#N/A</v>
      </c>
    </row>
    <row r="1111" spans="2:11" x14ac:dyDescent="0.2">
      <c r="B1111" s="12">
        <v>44167</v>
      </c>
      <c r="C1111" s="9">
        <v>44161</v>
      </c>
      <c r="D1111" s="10"/>
      <c r="E1111" s="10"/>
      <c r="F1111" s="11" t="s">
        <v>1143</v>
      </c>
      <c r="G1111" s="18">
        <f>260000+127000</f>
        <v>387000</v>
      </c>
      <c r="H1111" s="18" t="s">
        <v>5</v>
      </c>
      <c r="I1111" s="19" t="e">
        <f>IF(Paid[[#This Row],[Currency]]="USD",Paid[[#This Row],[Montant]],Paid[[#This Row],[Montant]]/VLOOKUP(Paid[[#This Row],[Date Paid]],TableCurrencyRate[#All],2,FALSE))</f>
        <v>#N/A</v>
      </c>
    </row>
    <row r="1112" spans="2:11" x14ac:dyDescent="0.2">
      <c r="B1112" s="12">
        <v>44168</v>
      </c>
      <c r="C1112" s="13">
        <v>44155</v>
      </c>
      <c r="D1112" s="14"/>
      <c r="E1112" s="14"/>
      <c r="F1112" s="15" t="s">
        <v>1142</v>
      </c>
      <c r="G1112" s="77">
        <v>112400</v>
      </c>
      <c r="H1112" s="16" t="s">
        <v>5</v>
      </c>
      <c r="I1112" s="19" t="e">
        <f>IF(Paid[[#This Row],[Currency]]="USD",Paid[[#This Row],[Montant]],Paid[[#This Row],[Montant]]/VLOOKUP(Paid[[#This Row],[Date Paid]],TableCurrencyRate[#All],2,FALSE))</f>
        <v>#N/A</v>
      </c>
    </row>
    <row r="1113" spans="2:11" x14ac:dyDescent="0.2">
      <c r="B1113" s="12">
        <v>44168</v>
      </c>
      <c r="C1113" s="9">
        <v>44155</v>
      </c>
      <c r="D1113" s="10"/>
      <c r="E1113" s="10"/>
      <c r="F1113" s="11" t="s">
        <v>1144</v>
      </c>
      <c r="G1113" s="18">
        <v>3380</v>
      </c>
      <c r="H1113" s="18" t="s">
        <v>5</v>
      </c>
      <c r="I1113" s="19" t="e">
        <f>IF(Paid[[#This Row],[Currency]]="USD",Paid[[#This Row],[Montant]],Paid[[#This Row],[Montant]]/VLOOKUP(Paid[[#This Row],[Date Paid]],TableCurrencyRate[#All],2,FALSE))</f>
        <v>#N/A</v>
      </c>
    </row>
    <row r="1114" spans="2:11" x14ac:dyDescent="0.2">
      <c r="B1114" s="12">
        <v>44169</v>
      </c>
      <c r="C1114" s="9">
        <v>44169</v>
      </c>
      <c r="D1114" s="10"/>
      <c r="E1114" s="10"/>
      <c r="F1114" s="11" t="s">
        <v>1145</v>
      </c>
      <c r="G1114" s="18">
        <v>18</v>
      </c>
      <c r="H1114" s="18" t="s">
        <v>6</v>
      </c>
      <c r="I1114" s="19">
        <f>IF(Paid[[#This Row],[Currency]]="USD",Paid[[#This Row],[Montant]],Paid[[#This Row],[Montant]]/VLOOKUP(Paid[[#This Row],[Date Paid]],TableCurrencyRate[#All],2,FALSE))</f>
        <v>18</v>
      </c>
    </row>
    <row r="1115" spans="2:11" x14ac:dyDescent="0.2">
      <c r="B1115" s="12">
        <v>44169</v>
      </c>
      <c r="C1115" s="9">
        <v>44169</v>
      </c>
      <c r="D1115" s="10"/>
      <c r="E1115" s="10"/>
      <c r="F1115" s="11" t="s">
        <v>1146</v>
      </c>
      <c r="G1115" s="18">
        <v>13584806</v>
      </c>
      <c r="H1115" s="18" t="s">
        <v>5</v>
      </c>
      <c r="I1115" s="19" t="e">
        <f>IF(Paid[[#This Row],[Currency]]="USD",Paid[[#This Row],[Montant]],Paid[[#This Row],[Montant]]/VLOOKUP(Paid[[#This Row],[Date Paid]],TableCurrencyRate[#All],2,FALSE))</f>
        <v>#N/A</v>
      </c>
      <c r="K1115" s="3"/>
    </row>
    <row r="1116" spans="2:11" x14ac:dyDescent="0.2">
      <c r="B1116" s="12">
        <v>44169</v>
      </c>
      <c r="C1116" s="9">
        <v>44169</v>
      </c>
      <c r="D1116" s="10"/>
      <c r="E1116" s="10"/>
      <c r="F1116" s="11" t="s">
        <v>1147</v>
      </c>
      <c r="G1116" s="18">
        <v>600000</v>
      </c>
      <c r="H1116" s="18" t="s">
        <v>5</v>
      </c>
      <c r="I1116" s="19" t="e">
        <f>IF(Paid[[#This Row],[Currency]]="USD",Paid[[#This Row],[Montant]],Paid[[#This Row],[Montant]]/VLOOKUP(Paid[[#This Row],[Date Paid]],TableCurrencyRate[#All],2,FALSE))</f>
        <v>#N/A</v>
      </c>
    </row>
    <row r="1117" spans="2:11" x14ac:dyDescent="0.2">
      <c r="B1117" s="12">
        <v>44172</v>
      </c>
      <c r="C1117" s="9">
        <v>44172</v>
      </c>
      <c r="D1117" s="10"/>
      <c r="E1117" s="10"/>
      <c r="F1117" s="11" t="s">
        <v>1148</v>
      </c>
      <c r="G1117" s="18">
        <f>105000-5000</f>
        <v>100000</v>
      </c>
      <c r="H1117" s="18" t="s">
        <v>5</v>
      </c>
      <c r="I1117" s="19" t="e">
        <f>IF(Paid[[#This Row],[Currency]]="USD",Paid[[#This Row],[Montant]],Paid[[#This Row],[Montant]]/VLOOKUP(Paid[[#This Row],[Date Paid]],TableCurrencyRate[#All],2,FALSE))</f>
        <v>#N/A</v>
      </c>
    </row>
    <row r="1118" spans="2:11" x14ac:dyDescent="0.2">
      <c r="B1118" s="12">
        <v>44175</v>
      </c>
      <c r="C1118" s="9">
        <v>44175</v>
      </c>
      <c r="D1118" s="10"/>
      <c r="E1118" s="10"/>
      <c r="F1118" s="11" t="s">
        <v>1149</v>
      </c>
      <c r="G1118" s="18">
        <f>100000+20000</f>
        <v>120000</v>
      </c>
      <c r="H1118" s="18" t="s">
        <v>5</v>
      </c>
      <c r="I1118" s="19" t="e">
        <f>IF(Paid[[#This Row],[Currency]]="USD",Paid[[#This Row],[Montant]],Paid[[#This Row],[Montant]]/VLOOKUP(Paid[[#This Row],[Date Paid]],TableCurrencyRate[#All],2,FALSE))</f>
        <v>#N/A</v>
      </c>
    </row>
    <row r="1119" spans="2:11" x14ac:dyDescent="0.2">
      <c r="B1119" s="12">
        <v>44177</v>
      </c>
      <c r="C1119" s="13">
        <v>44172</v>
      </c>
      <c r="D1119" s="14"/>
      <c r="E1119" s="14"/>
      <c r="F1119" s="15" t="s">
        <v>1167</v>
      </c>
      <c r="G1119" s="18">
        <f>375000+72500</f>
        <v>447500</v>
      </c>
      <c r="H1119" s="16" t="s">
        <v>5</v>
      </c>
      <c r="I1119" s="19" t="e">
        <f>IF(Paid[[#This Row],[Currency]]="USD",Paid[[#This Row],[Montant]],Paid[[#This Row],[Montant]]/VLOOKUP(Paid[[#This Row],[Date Paid]],TableCurrencyRate[#All],2,FALSE))</f>
        <v>#N/A</v>
      </c>
    </row>
    <row r="1120" spans="2:11" x14ac:dyDescent="0.2">
      <c r="B1120" s="12">
        <v>44177</v>
      </c>
      <c r="C1120" s="13">
        <v>44175</v>
      </c>
      <c r="D1120" s="14"/>
      <c r="E1120" s="14"/>
      <c r="F1120" s="15" t="s">
        <v>1165</v>
      </c>
      <c r="G1120" s="18">
        <f>125000-16000</f>
        <v>109000</v>
      </c>
      <c r="H1120" s="16" t="s">
        <v>5</v>
      </c>
      <c r="I1120" s="19" t="e">
        <f>IF(Paid[[#This Row],[Currency]]="USD",Paid[[#This Row],[Montant]],Paid[[#This Row],[Montant]]/VLOOKUP(Paid[[#This Row],[Date Paid]],TableCurrencyRate[#All],2,FALSE))</f>
        <v>#N/A</v>
      </c>
    </row>
    <row r="1121" spans="2:9" x14ac:dyDescent="0.2">
      <c r="B1121" s="12">
        <v>44177</v>
      </c>
      <c r="C1121" s="9">
        <v>44169</v>
      </c>
      <c r="D1121" s="10"/>
      <c r="E1121" s="10" t="s">
        <v>1161</v>
      </c>
      <c r="F1121" s="11" t="s">
        <v>1162</v>
      </c>
      <c r="G1121" s="18">
        <f>263900+1200</f>
        <v>265100</v>
      </c>
      <c r="H1121" s="18" t="s">
        <v>5</v>
      </c>
      <c r="I1121" s="19" t="e">
        <f>IF(Paid[[#This Row],[Currency]]="USD",Paid[[#This Row],[Montant]],Paid[[#This Row],[Montant]]/VLOOKUP(Paid[[#This Row],[Date Paid]],TableCurrencyRate[#All],2,FALSE))</f>
        <v>#N/A</v>
      </c>
    </row>
    <row r="1122" spans="2:9" x14ac:dyDescent="0.2">
      <c r="B1122" s="12">
        <v>44177</v>
      </c>
      <c r="C1122" s="9">
        <v>44156</v>
      </c>
      <c r="D1122" s="10"/>
      <c r="E1122" s="10" t="s">
        <v>1161</v>
      </c>
      <c r="F1122" s="11" t="s">
        <v>1164</v>
      </c>
      <c r="G1122" s="18">
        <f>88000-9200</f>
        <v>78800</v>
      </c>
      <c r="H1122" s="18" t="s">
        <v>5</v>
      </c>
      <c r="I1122" s="19" t="e">
        <f>IF(Paid[[#This Row],[Currency]]="USD",Paid[[#This Row],[Montant]],Paid[[#This Row],[Montant]]/VLOOKUP(Paid[[#This Row],[Date Paid]],TableCurrencyRate[#All],2,FALSE))</f>
        <v>#N/A</v>
      </c>
    </row>
    <row r="1123" spans="2:9" x14ac:dyDescent="0.2">
      <c r="B1123" s="12">
        <v>44177</v>
      </c>
      <c r="C1123" s="9">
        <v>44173</v>
      </c>
      <c r="D1123" s="10"/>
      <c r="E1123" s="10"/>
      <c r="F1123" s="11" t="s">
        <v>1159</v>
      </c>
      <c r="G1123" s="18">
        <v>29400</v>
      </c>
      <c r="H1123" s="18" t="s">
        <v>5</v>
      </c>
      <c r="I1123" s="19" t="e">
        <f>IF(Paid[[#This Row],[Currency]]="USD",Paid[[#This Row],[Montant]],Paid[[#This Row],[Montant]]/VLOOKUP(Paid[[#This Row],[Date Paid]],TableCurrencyRate[#All],2,FALSE))</f>
        <v>#N/A</v>
      </c>
    </row>
    <row r="1124" spans="2:9" x14ac:dyDescent="0.2">
      <c r="B1124" s="12">
        <v>44177</v>
      </c>
      <c r="C1124" s="9">
        <v>44176</v>
      </c>
      <c r="D1124" s="10"/>
      <c r="E1124" s="10"/>
      <c r="F1124" s="11" t="s">
        <v>1160</v>
      </c>
      <c r="G1124" s="18">
        <v>4000</v>
      </c>
      <c r="H1124" s="18" t="s">
        <v>5</v>
      </c>
      <c r="I1124" s="19" t="e">
        <f>IF(Paid[[#This Row],[Currency]]="USD",Paid[[#This Row],[Montant]],Paid[[#This Row],[Montant]]/VLOOKUP(Paid[[#This Row],[Date Paid]],TableCurrencyRate[#All],2,FALSE))</f>
        <v>#N/A</v>
      </c>
    </row>
    <row r="1125" spans="2:9" x14ac:dyDescent="0.2">
      <c r="B1125" s="12">
        <v>44177</v>
      </c>
      <c r="C1125" s="9">
        <v>44158</v>
      </c>
      <c r="D1125" s="10"/>
      <c r="E1125" s="10"/>
      <c r="F1125" s="11" t="s">
        <v>1158</v>
      </c>
      <c r="G1125" s="18">
        <v>59700</v>
      </c>
      <c r="H1125" s="18" t="s">
        <v>5</v>
      </c>
      <c r="I1125" s="19" t="e">
        <f>IF(Paid[[#This Row],[Currency]]="USD",Paid[[#This Row],[Montant]],Paid[[#This Row],[Montant]]/VLOOKUP(Paid[[#This Row],[Date Paid]],TableCurrencyRate[#All],2,FALSE))</f>
        <v>#N/A</v>
      </c>
    </row>
    <row r="1126" spans="2:9" x14ac:dyDescent="0.2">
      <c r="B1126" s="12">
        <v>44177</v>
      </c>
      <c r="C1126" s="9">
        <v>44168</v>
      </c>
      <c r="D1126" s="10" t="s">
        <v>9</v>
      </c>
      <c r="E1126" s="10"/>
      <c r="F1126" s="11" t="s">
        <v>827</v>
      </c>
      <c r="G1126" s="18">
        <v>213200</v>
      </c>
      <c r="H1126" s="18" t="s">
        <v>5</v>
      </c>
      <c r="I1126" s="19" t="e">
        <f>IF(Paid[[#This Row],[Currency]]="USD",Paid[[#This Row],[Montant]],Paid[[#This Row],[Montant]]/VLOOKUP(Paid[[#This Row],[Date Paid]],TableCurrencyRate[#All],2,FALSE))</f>
        <v>#N/A</v>
      </c>
    </row>
    <row r="1127" spans="2:9" x14ac:dyDescent="0.2">
      <c r="B1127" s="12">
        <v>44177</v>
      </c>
      <c r="C1127" s="9">
        <v>44177</v>
      </c>
      <c r="D1127" s="10" t="s">
        <v>46</v>
      </c>
      <c r="E1127" s="10"/>
      <c r="F1127" s="11" t="s">
        <v>1166</v>
      </c>
      <c r="G1127" s="18">
        <v>46000</v>
      </c>
      <c r="H1127" s="18" t="s">
        <v>5</v>
      </c>
      <c r="I1127" s="19" t="e">
        <f>IF(Paid[[#This Row],[Currency]]="USD",Paid[[#This Row],[Montant]],Paid[[#This Row],[Montant]]/VLOOKUP(Paid[[#This Row],[Date Paid]],TableCurrencyRate[#All],2,FALSE))</f>
        <v>#N/A</v>
      </c>
    </row>
    <row r="1128" spans="2:9" x14ac:dyDescent="0.2">
      <c r="B1128" s="12">
        <v>44182</v>
      </c>
      <c r="C1128" s="12">
        <v>44182</v>
      </c>
      <c r="D1128" s="10"/>
      <c r="E1128" s="10"/>
      <c r="F1128" s="11" t="s">
        <v>1171</v>
      </c>
      <c r="G1128" s="18">
        <v>8000</v>
      </c>
      <c r="H1128" s="18" t="s">
        <v>5</v>
      </c>
      <c r="I1128" s="19">
        <f>IF(Paid[[#This Row],[Currency]]="USD",Paid[[#This Row],[Montant]],Paid[[#This Row],[Montant]]/VLOOKUP(Paid[[#This Row],[Date Paid]],TableCurrencyRate[#All],2,FALSE))</f>
        <v>5.8866813833701253</v>
      </c>
    </row>
    <row r="1129" spans="2:9" x14ac:dyDescent="0.2">
      <c r="B1129" s="12">
        <v>44183</v>
      </c>
      <c r="C1129" s="13">
        <v>44183</v>
      </c>
      <c r="D1129" s="14" t="s">
        <v>786</v>
      </c>
      <c r="E1129" s="14"/>
      <c r="F1129" s="15" t="s">
        <v>1168</v>
      </c>
      <c r="G1129" s="21">
        <v>5000000</v>
      </c>
      <c r="H1129" s="16" t="s">
        <v>5</v>
      </c>
      <c r="I1129" s="19">
        <f>IF(Paid[[#This Row],[Currency]]="USD",Paid[[#This Row],[Montant]],Paid[[#This Row],[Montant]]/VLOOKUP(Paid[[#This Row],[Date Paid]],TableCurrencyRate[#All],2,FALSE))</f>
        <v>3706.4492216456633</v>
      </c>
    </row>
    <row r="1130" spans="2:9" x14ac:dyDescent="0.2">
      <c r="B1130" s="57">
        <v>44184</v>
      </c>
      <c r="C1130" s="9">
        <v>44172</v>
      </c>
      <c r="D1130" s="10"/>
      <c r="E1130" s="10"/>
      <c r="F1130" s="11" t="s">
        <v>1176</v>
      </c>
      <c r="G1130" s="18">
        <v>250000</v>
      </c>
      <c r="H1130" s="18" t="s">
        <v>5</v>
      </c>
      <c r="I1130" s="19" t="e">
        <f>IF(Paid[[#This Row],[Currency]]="USD",Paid[[#This Row],[Montant]],Paid[[#This Row],[Montant]]/VLOOKUP(Paid[[#This Row],[Date Paid]],TableCurrencyRate[#All],2,FALSE))</f>
        <v>#N/A</v>
      </c>
    </row>
    <row r="1131" spans="2:9" x14ac:dyDescent="0.2">
      <c r="B1131" s="57">
        <v>44184</v>
      </c>
      <c r="C1131" s="9">
        <v>44172</v>
      </c>
      <c r="D1131" s="10"/>
      <c r="E1131" s="10"/>
      <c r="F1131" s="11" t="s">
        <v>1177</v>
      </c>
      <c r="G1131" s="18">
        <v>350000</v>
      </c>
      <c r="H1131" s="18" t="s">
        <v>5</v>
      </c>
      <c r="I1131" s="19" t="e">
        <f>IF(Paid[[#This Row],[Currency]]="USD",Paid[[#This Row],[Montant]],Paid[[#This Row],[Montant]]/VLOOKUP(Paid[[#This Row],[Date Paid]],TableCurrencyRate[#All],2,FALSE))</f>
        <v>#N/A</v>
      </c>
    </row>
    <row r="1132" spans="2:9" x14ac:dyDescent="0.2">
      <c r="B1132" s="57">
        <v>44184</v>
      </c>
      <c r="C1132" s="9">
        <v>44166</v>
      </c>
      <c r="D1132" s="10"/>
      <c r="E1132" s="10"/>
      <c r="F1132" s="11" t="s">
        <v>459</v>
      </c>
      <c r="G1132" s="18">
        <v>800000</v>
      </c>
      <c r="H1132" s="18" t="s">
        <v>5</v>
      </c>
      <c r="I1132" s="19" t="e">
        <f>IF(Paid[[#This Row],[Currency]]="USD",Paid[[#This Row],[Montant]],Paid[[#This Row],[Montant]]/VLOOKUP(Paid[[#This Row],[Date Paid]],TableCurrencyRate[#All],2,FALSE))</f>
        <v>#N/A</v>
      </c>
    </row>
    <row r="1133" spans="2:9" x14ac:dyDescent="0.2">
      <c r="B1133" s="57">
        <v>44184</v>
      </c>
      <c r="C1133" s="9">
        <v>44166</v>
      </c>
      <c r="D1133" s="10"/>
      <c r="E1133" s="10"/>
      <c r="F1133" s="11" t="s">
        <v>458</v>
      </c>
      <c r="G1133" s="18">
        <v>600000</v>
      </c>
      <c r="H1133" s="18" t="s">
        <v>5</v>
      </c>
      <c r="I1133" s="19" t="e">
        <f>IF(Paid[[#This Row],[Currency]]="USD",Paid[[#This Row],[Montant]],Paid[[#This Row],[Montant]]/VLOOKUP(Paid[[#This Row],[Date Paid]],TableCurrencyRate[#All],2,FALSE))</f>
        <v>#N/A</v>
      </c>
    </row>
    <row r="1134" spans="2:9" x14ac:dyDescent="0.2">
      <c r="B1134" s="57">
        <v>44186</v>
      </c>
      <c r="C1134" s="9">
        <v>44177</v>
      </c>
      <c r="D1134" s="10"/>
      <c r="E1134" s="10"/>
      <c r="F1134" s="11" t="s">
        <v>1169</v>
      </c>
      <c r="G1134" s="18">
        <f>11000-2500</f>
        <v>8500</v>
      </c>
      <c r="H1134" s="18" t="s">
        <v>5</v>
      </c>
      <c r="I1134" s="19" t="e">
        <f>IF(Paid[[#This Row],[Currency]]="USD",Paid[[#This Row],[Montant]],Paid[[#This Row],[Montant]]/VLOOKUP(Paid[[#This Row],[Date Paid]],TableCurrencyRate[#All],2,FALSE))</f>
        <v>#N/A</v>
      </c>
    </row>
    <row r="1135" spans="2:9" x14ac:dyDescent="0.2">
      <c r="B1135" s="57">
        <v>44184</v>
      </c>
      <c r="C1135" s="9">
        <v>44158</v>
      </c>
      <c r="D1135" s="10"/>
      <c r="E1135" s="10"/>
      <c r="F1135" s="11" t="s">
        <v>1170</v>
      </c>
      <c r="G1135" s="18">
        <v>2500</v>
      </c>
      <c r="H1135" s="18" t="s">
        <v>5</v>
      </c>
      <c r="I1135" s="19" t="e">
        <f>IF(Paid[[#This Row],[Currency]]="USD",Paid[[#This Row],[Montant]],Paid[[#This Row],[Montant]]/VLOOKUP(Paid[[#This Row],[Date Paid]],TableCurrencyRate[#All],2,FALSE))</f>
        <v>#N/A</v>
      </c>
    </row>
    <row r="1136" spans="2:9" x14ac:dyDescent="0.2">
      <c r="B1136" s="57">
        <v>44186</v>
      </c>
      <c r="C1136" s="9">
        <v>44184</v>
      </c>
      <c r="D1136" s="10"/>
      <c r="E1136" s="10"/>
      <c r="F1136" s="11" t="s">
        <v>1173</v>
      </c>
      <c r="G1136" s="18">
        <v>508000</v>
      </c>
      <c r="H1136" s="18" t="s">
        <v>5</v>
      </c>
      <c r="I1136" s="19" t="e">
        <f>IF(Paid[[#This Row],[Currency]]="USD",Paid[[#This Row],[Montant]],Paid[[#This Row],[Montant]]/VLOOKUP(Paid[[#This Row],[Date Paid]],TableCurrencyRate[#All],2,FALSE))</f>
        <v>#N/A</v>
      </c>
    </row>
    <row r="1137" spans="2:9" x14ac:dyDescent="0.2">
      <c r="B1137" s="57">
        <v>44186</v>
      </c>
      <c r="C1137" s="9">
        <v>44184</v>
      </c>
      <c r="D1137" s="10"/>
      <c r="E1137" s="10"/>
      <c r="F1137" s="11" t="s">
        <v>1174</v>
      </c>
      <c r="G1137" s="18">
        <v>362000</v>
      </c>
      <c r="H1137" s="18" t="s">
        <v>5</v>
      </c>
      <c r="I1137" s="19" t="e">
        <f>IF(Paid[[#This Row],[Currency]]="USD",Paid[[#This Row],[Montant]],Paid[[#This Row],[Montant]]/VLOOKUP(Paid[[#This Row],[Date Paid]],TableCurrencyRate[#All],2,FALSE))</f>
        <v>#N/A</v>
      </c>
    </row>
    <row r="1138" spans="2:9" x14ac:dyDescent="0.2">
      <c r="B1138" s="191">
        <v>44184</v>
      </c>
      <c r="C1138" s="13">
        <v>43962</v>
      </c>
      <c r="D1138" s="14"/>
      <c r="E1138" s="14"/>
      <c r="F1138" s="15" t="s">
        <v>982</v>
      </c>
      <c r="G1138" s="21">
        <v>36200</v>
      </c>
      <c r="H1138" s="16" t="s">
        <v>5</v>
      </c>
      <c r="I1138" s="190" t="e">
        <f>IF(Paid[[#This Row],[Currency]]="USD",Paid[[#This Row],[Montant]],Paid[[#This Row],[Montant]]/VLOOKUP(Paid[[#This Row],[Date Paid]],TableCurrencyRate[#All],2,FALSE))</f>
        <v>#N/A</v>
      </c>
    </row>
    <row r="1139" spans="2:9" x14ac:dyDescent="0.2">
      <c r="B1139" s="57">
        <v>44184</v>
      </c>
      <c r="C1139" s="184">
        <v>43955</v>
      </c>
      <c r="D1139" s="187"/>
      <c r="E1139" s="187"/>
      <c r="F1139" s="188" t="s">
        <v>1197</v>
      </c>
      <c r="G1139" s="189">
        <v>11400</v>
      </c>
      <c r="H1139" s="189" t="s">
        <v>5</v>
      </c>
      <c r="I1139" s="190" t="e">
        <f>IF(Paid[[#This Row],[Currency]]="USD",Paid[[#This Row],[Montant]],Paid[[#This Row],[Montant]]/VLOOKUP(Paid[[#This Row],[Date Paid]],TableCurrencyRate[#All],2,FALSE))</f>
        <v>#N/A</v>
      </c>
    </row>
    <row r="1140" spans="2:9" x14ac:dyDescent="0.2">
      <c r="B1140" s="191">
        <v>44184</v>
      </c>
      <c r="C1140" s="184">
        <v>43981</v>
      </c>
      <c r="D1140" s="187"/>
      <c r="E1140" s="187"/>
      <c r="F1140" s="188" t="s">
        <v>845</v>
      </c>
      <c r="G1140" s="189">
        <v>13500</v>
      </c>
      <c r="H1140" s="189" t="s">
        <v>5</v>
      </c>
      <c r="I1140" s="190" t="e">
        <f>IF(Paid[[#This Row],[Currency]]="USD",Paid[[#This Row],[Montant]],Paid[[#This Row],[Montant]]/VLOOKUP(Paid[[#This Row],[Date Paid]],TableCurrencyRate[#All],2,FALSE))</f>
        <v>#N/A</v>
      </c>
    </row>
    <row r="1141" spans="2:9" x14ac:dyDescent="0.2">
      <c r="B1141" s="57">
        <v>44184</v>
      </c>
      <c r="C1141" s="13">
        <v>43976</v>
      </c>
      <c r="D1141" s="14"/>
      <c r="E1141" s="14"/>
      <c r="F1141" s="15" t="s">
        <v>850</v>
      </c>
      <c r="G1141" s="21">
        <v>30700</v>
      </c>
      <c r="H1141" s="16" t="s">
        <v>5</v>
      </c>
      <c r="I1141" s="190" t="e">
        <f>IF(Paid[[#This Row],[Currency]]="USD",Paid[[#This Row],[Montant]],Paid[[#This Row],[Montant]]/VLOOKUP(Paid[[#This Row],[Date Paid]],TableCurrencyRate[#All],2,FALSE))</f>
        <v>#N/A</v>
      </c>
    </row>
    <row r="1142" spans="2:9" x14ac:dyDescent="0.2">
      <c r="B1142" s="191">
        <v>44184</v>
      </c>
      <c r="C1142" s="13">
        <v>44019</v>
      </c>
      <c r="D1142" s="14"/>
      <c r="E1142" s="14"/>
      <c r="F1142" s="15" t="s">
        <v>1172</v>
      </c>
      <c r="G1142" s="21">
        <v>21600</v>
      </c>
      <c r="H1142" s="16" t="s">
        <v>5</v>
      </c>
      <c r="I1142" s="190" t="e">
        <f>IF(Paid[[#This Row],[Currency]]="USD",Paid[[#This Row],[Montant]],Paid[[#This Row],[Montant]]/VLOOKUP(Paid[[#This Row],[Date Paid]],TableCurrencyRate[#All],2,FALSE))</f>
        <v>#N/A</v>
      </c>
    </row>
    <row r="1143" spans="2:9" x14ac:dyDescent="0.2">
      <c r="B1143" s="57">
        <v>44184</v>
      </c>
      <c r="C1143" s="13">
        <v>43914</v>
      </c>
      <c r="D1143" s="14"/>
      <c r="E1143" s="14"/>
      <c r="F1143" s="15" t="s">
        <v>849</v>
      </c>
      <c r="G1143" s="21">
        <v>36200</v>
      </c>
      <c r="H1143" s="16" t="s">
        <v>5</v>
      </c>
      <c r="I1143" s="190" t="e">
        <f>IF(Paid[[#This Row],[Currency]]="USD",Paid[[#This Row],[Montant]],Paid[[#This Row],[Montant]]/VLOOKUP(Paid[[#This Row],[Date Paid]],TableCurrencyRate[#All],2,FALSE))</f>
        <v>#N/A</v>
      </c>
    </row>
    <row r="1144" spans="2:9" x14ac:dyDescent="0.2">
      <c r="B1144" s="191">
        <v>44184</v>
      </c>
      <c r="C1144" s="184">
        <v>43962</v>
      </c>
      <c r="D1144" s="187"/>
      <c r="E1144" s="187"/>
      <c r="F1144" s="188" t="s">
        <v>851</v>
      </c>
      <c r="G1144" s="189">
        <v>36200</v>
      </c>
      <c r="H1144" s="189" t="s">
        <v>5</v>
      </c>
      <c r="I1144" s="190" t="e">
        <f>IF(Paid[[#This Row],[Currency]]="USD",Paid[[#This Row],[Montant]],Paid[[#This Row],[Montant]]/VLOOKUP(Paid[[#This Row],[Date Paid]],TableCurrencyRate[#All],2,FALSE))</f>
        <v>#N/A</v>
      </c>
    </row>
    <row r="1145" spans="2:9" x14ac:dyDescent="0.2">
      <c r="B1145" s="57">
        <v>44184</v>
      </c>
      <c r="C1145" s="184">
        <v>44019</v>
      </c>
      <c r="D1145" s="187"/>
      <c r="E1145" s="187"/>
      <c r="F1145" s="188" t="s">
        <v>1194</v>
      </c>
      <c r="G1145" s="189">
        <v>21600</v>
      </c>
      <c r="H1145" s="189" t="s">
        <v>5</v>
      </c>
      <c r="I1145" s="190" t="e">
        <f>IF(Paid[[#This Row],[Currency]]="USD",Paid[[#This Row],[Montant]],Paid[[#This Row],[Montant]]/VLOOKUP(Paid[[#This Row],[Date Paid]],TableCurrencyRate[#All],2,FALSE))</f>
        <v>#N/A</v>
      </c>
    </row>
    <row r="1146" spans="2:9" x14ac:dyDescent="0.2">
      <c r="B1146" s="191">
        <v>44186</v>
      </c>
      <c r="C1146" s="13">
        <v>43964</v>
      </c>
      <c r="D1146" s="14" t="s">
        <v>46</v>
      </c>
      <c r="E1146" s="14"/>
      <c r="F1146" s="15" t="s">
        <v>1175</v>
      </c>
      <c r="G1146" s="78">
        <v>834000</v>
      </c>
      <c r="H1146" s="16" t="s">
        <v>5</v>
      </c>
      <c r="I1146" s="190" t="e">
        <f>IF(Paid[[#This Row],[Currency]]="USD",Paid[[#This Row],[Montant]],Paid[[#This Row],[Montant]]/VLOOKUP(Paid[[#This Row],[Date Paid]],TableCurrencyRate[#All],2,FALSE))</f>
        <v>#N/A</v>
      </c>
    </row>
    <row r="1147" spans="2:9" x14ac:dyDescent="0.2">
      <c r="B1147" s="200">
        <v>44188</v>
      </c>
      <c r="C1147" s="13">
        <v>44187</v>
      </c>
      <c r="D1147" s="14"/>
      <c r="E1147" s="14"/>
      <c r="F1147" s="15" t="s">
        <v>1202</v>
      </c>
      <c r="G1147" s="77">
        <v>5000</v>
      </c>
      <c r="H1147" s="16" t="s">
        <v>5</v>
      </c>
      <c r="I1147" s="199" t="e">
        <f>IF(Paid[[#This Row],[Currency]]="USD",Paid[[#This Row],[Montant]],Paid[[#This Row],[Montant]]/VLOOKUP(Paid[[#This Row],[Date Paid]],TableCurrencyRate[#All],2,FALSE))</f>
        <v>#N/A</v>
      </c>
    </row>
    <row r="1148" spans="2:9" x14ac:dyDescent="0.2">
      <c r="B1148" s="200">
        <v>44188</v>
      </c>
      <c r="C1148" s="195">
        <v>44132</v>
      </c>
      <c r="D1148" s="196"/>
      <c r="E1148" s="196" t="s">
        <v>1157</v>
      </c>
      <c r="F1148" s="197" t="s">
        <v>1153</v>
      </c>
      <c r="G1148" s="198">
        <v>532000</v>
      </c>
      <c r="H1148" s="198" t="s">
        <v>5</v>
      </c>
      <c r="I1148" s="199" t="e">
        <f>IF(Paid[[#This Row],[Currency]]="USD",Paid[[#This Row],[Montant]],Paid[[#This Row],[Montant]]/VLOOKUP(Paid[[#This Row],[Date Paid]],TableCurrencyRate[#All],2,FALSE))</f>
        <v>#N/A</v>
      </c>
    </row>
    <row r="1149" spans="2:9" x14ac:dyDescent="0.2">
      <c r="B1149" s="200">
        <v>44188</v>
      </c>
      <c r="C1149" s="195">
        <v>44132</v>
      </c>
      <c r="D1149" s="196"/>
      <c r="E1149" s="196" t="s">
        <v>1157</v>
      </c>
      <c r="F1149" s="197" t="s">
        <v>1154</v>
      </c>
      <c r="G1149" s="198">
        <v>237000</v>
      </c>
      <c r="H1149" s="198" t="s">
        <v>5</v>
      </c>
      <c r="I1149" s="199" t="e">
        <f>IF(Paid[[#This Row],[Currency]]="USD",Paid[[#This Row],[Montant]],Paid[[#This Row],[Montant]]/VLOOKUP(Paid[[#This Row],[Date Paid]],TableCurrencyRate[#All],2,FALSE))</f>
        <v>#N/A</v>
      </c>
    </row>
    <row r="1150" spans="2:9" x14ac:dyDescent="0.2">
      <c r="B1150" s="200">
        <v>44188</v>
      </c>
      <c r="C1150" s="195">
        <v>44132</v>
      </c>
      <c r="D1150" s="196"/>
      <c r="E1150" s="196" t="s">
        <v>1157</v>
      </c>
      <c r="F1150" s="197" t="s">
        <v>1155</v>
      </c>
      <c r="G1150" s="198">
        <v>360500</v>
      </c>
      <c r="H1150" s="198" t="s">
        <v>5</v>
      </c>
      <c r="I1150" s="199" t="e">
        <f>IF(Paid[[#This Row],[Currency]]="USD",Paid[[#This Row],[Montant]],Paid[[#This Row],[Montant]]/VLOOKUP(Paid[[#This Row],[Date Paid]],TableCurrencyRate[#All],2,FALSE))</f>
        <v>#N/A</v>
      </c>
    </row>
    <row r="1151" spans="2:9" x14ac:dyDescent="0.2">
      <c r="B1151" s="200">
        <v>44188</v>
      </c>
      <c r="C1151" s="13">
        <v>44156</v>
      </c>
      <c r="D1151" s="14"/>
      <c r="E1151" s="14" t="s">
        <v>1157</v>
      </c>
      <c r="F1151" s="15" t="s">
        <v>1163</v>
      </c>
      <c r="G1151" s="77">
        <v>377000</v>
      </c>
      <c r="H1151" s="16" t="s">
        <v>5</v>
      </c>
      <c r="I1151" s="199" t="e">
        <f>IF(Paid[[#This Row],[Currency]]="USD",Paid[[#This Row],[Montant]],Paid[[#This Row],[Montant]]/VLOOKUP(Paid[[#This Row],[Date Paid]],TableCurrencyRate[#All],2,FALSE))</f>
        <v>#N/A</v>
      </c>
    </row>
    <row r="1152" spans="2:9" x14ac:dyDescent="0.2">
      <c r="B1152" s="200">
        <v>44188</v>
      </c>
      <c r="C1152" s="13">
        <v>44167</v>
      </c>
      <c r="D1152" s="14"/>
      <c r="E1152" s="14" t="s">
        <v>1157</v>
      </c>
      <c r="F1152" s="15" t="s">
        <v>1150</v>
      </c>
      <c r="G1152" s="77">
        <v>248000</v>
      </c>
      <c r="H1152" s="16" t="s">
        <v>5</v>
      </c>
      <c r="I1152" s="199" t="e">
        <f>IF(Paid[[#This Row],[Currency]]="USD",Paid[[#This Row],[Montant]],Paid[[#This Row],[Montant]]/VLOOKUP(Paid[[#This Row],[Date Paid]],TableCurrencyRate[#All],2,FALSE))</f>
        <v>#N/A</v>
      </c>
    </row>
    <row r="1153" spans="2:9" x14ac:dyDescent="0.2">
      <c r="B1153" s="200">
        <v>44188</v>
      </c>
      <c r="C1153" s="9">
        <v>44187</v>
      </c>
      <c r="D1153" s="10"/>
      <c r="E1153" s="10" t="s">
        <v>1157</v>
      </c>
      <c r="F1153" s="11" t="s">
        <v>1180</v>
      </c>
      <c r="G1153" s="18">
        <v>57000</v>
      </c>
      <c r="H1153" s="18" t="s">
        <v>5</v>
      </c>
      <c r="I1153" s="19" t="e">
        <f>IF(Paid[[#This Row],[Currency]]="USD",Paid[[#This Row],[Montant]],Paid[[#This Row],[Montant]]/VLOOKUP(Paid[[#This Row],[Date Paid]],TableCurrencyRate[#All],2,FALSE))</f>
        <v>#N/A</v>
      </c>
    </row>
    <row r="1154" spans="2:9" x14ac:dyDescent="0.2">
      <c r="B1154" s="200">
        <v>44188</v>
      </c>
      <c r="C1154" s="9">
        <v>44132</v>
      </c>
      <c r="D1154" s="10"/>
      <c r="E1154" s="10" t="s">
        <v>1157</v>
      </c>
      <c r="F1154" s="11" t="s">
        <v>1151</v>
      </c>
      <c r="G1154" s="18">
        <v>159000</v>
      </c>
      <c r="H1154" s="18" t="s">
        <v>5</v>
      </c>
      <c r="I1154" s="19" t="e">
        <f>IF(Paid[[#This Row],[Currency]]="USD",Paid[[#This Row],[Montant]],Paid[[#This Row],[Montant]]/VLOOKUP(Paid[[#This Row],[Date Paid]],TableCurrencyRate[#All],2,FALSE))</f>
        <v>#N/A</v>
      </c>
    </row>
    <row r="1155" spans="2:9" x14ac:dyDescent="0.2">
      <c r="B1155" s="200">
        <v>44188</v>
      </c>
      <c r="C1155" s="9">
        <v>44156</v>
      </c>
      <c r="D1155" s="10"/>
      <c r="E1155" s="10" t="s">
        <v>1157</v>
      </c>
      <c r="F1155" s="11" t="s">
        <v>1152</v>
      </c>
      <c r="G1155" s="18">
        <f>577500-50000-2500</f>
        <v>525000</v>
      </c>
      <c r="H1155" s="18" t="s">
        <v>5</v>
      </c>
      <c r="I1155" s="19" t="e">
        <f>IF(Paid[[#This Row],[Currency]]="USD",Paid[[#This Row],[Montant]],Paid[[#This Row],[Montant]]/VLOOKUP(Paid[[#This Row],[Date Paid]],TableCurrencyRate[#All],2,FALSE))</f>
        <v>#N/A</v>
      </c>
    </row>
    <row r="1156" spans="2:9" x14ac:dyDescent="0.2">
      <c r="B1156" s="200">
        <v>44188</v>
      </c>
      <c r="C1156" s="9">
        <v>44169</v>
      </c>
      <c r="D1156" s="10"/>
      <c r="E1156" s="10" t="s">
        <v>1157</v>
      </c>
      <c r="F1156" s="11" t="s">
        <v>1156</v>
      </c>
      <c r="G1156" s="18">
        <v>203000</v>
      </c>
      <c r="H1156" s="18" t="s">
        <v>5</v>
      </c>
      <c r="I1156" s="19" t="e">
        <f>IF(Paid[[#This Row],[Currency]]="USD",Paid[[#This Row],[Montant]],Paid[[#This Row],[Montant]]/VLOOKUP(Paid[[#This Row],[Date Paid]],TableCurrencyRate[#All],2,FALSE))</f>
        <v>#N/A</v>
      </c>
    </row>
    <row r="1157" spans="2:9" x14ac:dyDescent="0.2">
      <c r="B1157" s="200">
        <v>44188</v>
      </c>
      <c r="C1157" s="9">
        <v>44187</v>
      </c>
      <c r="D1157" s="10"/>
      <c r="E1157" s="10" t="s">
        <v>1161</v>
      </c>
      <c r="F1157" s="11" t="s">
        <v>1178</v>
      </c>
      <c r="G1157" s="18">
        <v>103000</v>
      </c>
      <c r="H1157" s="18" t="s">
        <v>5</v>
      </c>
      <c r="I1157" s="19" t="e">
        <f>IF(Paid[[#This Row],[Currency]]="USD",Paid[[#This Row],[Montant]],Paid[[#This Row],[Montant]]/VLOOKUP(Paid[[#This Row],[Date Paid]],TableCurrencyRate[#All],2,FALSE))</f>
        <v>#N/A</v>
      </c>
    </row>
    <row r="1158" spans="2:9" x14ac:dyDescent="0.2">
      <c r="B1158" s="57">
        <v>44188</v>
      </c>
      <c r="C1158" s="9">
        <v>44188</v>
      </c>
      <c r="D1158" s="10"/>
      <c r="E1158" s="10" t="s">
        <v>233</v>
      </c>
      <c r="F1158" s="11" t="s">
        <v>1233</v>
      </c>
      <c r="G1158" s="18">
        <f>138000-3000</f>
        <v>135000</v>
      </c>
      <c r="H1158" s="18" t="s">
        <v>5</v>
      </c>
      <c r="I1158" s="19" t="e">
        <f>IF(Paid[[#This Row],[Currency]]="USD",Paid[[#This Row],[Montant]],Paid[[#This Row],[Montant]]/VLOOKUP(Paid[[#This Row],[Date Paid]],TableCurrencyRate[#All],2,FALSE))</f>
        <v>#N/A</v>
      </c>
    </row>
    <row r="1159" spans="2:9" x14ac:dyDescent="0.2">
      <c r="B1159" s="200">
        <v>44188</v>
      </c>
      <c r="C1159" s="9">
        <v>44132</v>
      </c>
      <c r="D1159" s="10"/>
      <c r="E1159" s="10"/>
      <c r="F1159" s="11" t="s">
        <v>1181</v>
      </c>
      <c r="G1159" s="18">
        <v>453597</v>
      </c>
      <c r="H1159" s="18" t="s">
        <v>5</v>
      </c>
      <c r="I1159" s="19" t="e">
        <f>IF(Paid[[#This Row],[Currency]]="USD",Paid[[#This Row],[Montant]],Paid[[#This Row],[Montant]]/VLOOKUP(Paid[[#This Row],[Date Paid]],TableCurrencyRate[#All],2,FALSE))</f>
        <v>#N/A</v>
      </c>
    </row>
    <row r="1160" spans="2:9" x14ac:dyDescent="0.2">
      <c r="B1160" s="200">
        <v>44188</v>
      </c>
      <c r="C1160" s="9">
        <v>44107</v>
      </c>
      <c r="D1160" s="10"/>
      <c r="E1160" s="10"/>
      <c r="F1160" s="11" t="s">
        <v>1179</v>
      </c>
      <c r="G1160" s="18">
        <v>270793</v>
      </c>
      <c r="H1160" s="18" t="s">
        <v>5</v>
      </c>
      <c r="I1160" s="19" t="e">
        <f>IF(Paid[[#This Row],[Currency]]="USD",Paid[[#This Row],[Montant]],Paid[[#This Row],[Montant]]/VLOOKUP(Paid[[#This Row],[Date Paid]],TableCurrencyRate[#All],2,FALSE))</f>
        <v>#N/A</v>
      </c>
    </row>
    <row r="1161" spans="2:9" x14ac:dyDescent="0.2">
      <c r="B1161" s="200">
        <v>44188</v>
      </c>
      <c r="C1161" s="9">
        <v>44188</v>
      </c>
      <c r="D1161" s="10"/>
      <c r="E1161" s="10"/>
      <c r="F1161" s="11" t="s">
        <v>1182</v>
      </c>
      <c r="G1161" s="18">
        <v>601000</v>
      </c>
      <c r="H1161" s="18" t="s">
        <v>5</v>
      </c>
      <c r="I1161" s="19" t="e">
        <f>IF(Paid[[#This Row],[Currency]]="USD",Paid[[#This Row],[Montant]],Paid[[#This Row],[Montant]]/VLOOKUP(Paid[[#This Row],[Date Paid]],TableCurrencyRate[#All],2,FALSE))</f>
        <v>#N/A</v>
      </c>
    </row>
    <row r="1162" spans="2:9" x14ac:dyDescent="0.2">
      <c r="B1162" s="12">
        <v>44193</v>
      </c>
      <c r="C1162" s="9">
        <v>44181</v>
      </c>
      <c r="D1162" s="10"/>
      <c r="E1162" s="10"/>
      <c r="F1162" s="11" t="s">
        <v>1190</v>
      </c>
      <c r="G1162" s="18">
        <v>1350000</v>
      </c>
      <c r="H1162" s="18" t="s">
        <v>5</v>
      </c>
      <c r="I1162" s="19" t="e">
        <f>IF(Paid[[#This Row],[Currency]]="USD",Paid[[#This Row],[Montant]],Paid[[#This Row],[Montant]]/VLOOKUP(Paid[[#This Row],[Date Paid]],TableCurrencyRate[#All],2,FALSE))</f>
        <v>#N/A</v>
      </c>
    </row>
    <row r="1163" spans="2:9" x14ac:dyDescent="0.2">
      <c r="B1163" s="12">
        <v>44194</v>
      </c>
      <c r="C1163" s="9">
        <v>44194</v>
      </c>
      <c r="D1163" s="10" t="s">
        <v>530</v>
      </c>
      <c r="E1163" s="10" t="s">
        <v>1242</v>
      </c>
      <c r="F1163" s="11" t="s">
        <v>1243</v>
      </c>
      <c r="G1163" s="18">
        <v>518200</v>
      </c>
      <c r="H1163" s="18" t="s">
        <v>5</v>
      </c>
      <c r="I1163" s="19" t="e">
        <f>IF(Paid[[#This Row],[Currency]]="USD",Paid[[#This Row],[Montant]],Paid[[#This Row],[Montant]]/VLOOKUP(Paid[[#This Row],[Date Paid]],TableCurrencyRate[#All],2,FALSE))</f>
        <v>#N/A</v>
      </c>
    </row>
  </sheetData>
  <dataValidations disablePrompts="1" count="1">
    <dataValidation type="list" allowBlank="1" showInputMessage="1" showErrorMessage="1" sqref="H2" xr:uid="{00000000-0002-0000-0100-000000000000}">
      <formula1>"USD, MMK"</formula1>
    </dataValidation>
  </dataValidations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B7361-DF73-234D-ADF4-E43728CEAF2F}">
  <sheetPr codeName="Sheet3"/>
  <dimension ref="A1:I14"/>
  <sheetViews>
    <sheetView workbookViewId="0">
      <selection activeCell="D16" sqref="D16"/>
    </sheetView>
  </sheetViews>
  <sheetFormatPr baseColWidth="10" defaultColWidth="0" defaultRowHeight="16" x14ac:dyDescent="0.2"/>
  <cols>
    <col min="1" max="1" width="5.83203125" customWidth="1"/>
    <col min="2" max="2" width="30" bestFit="1" customWidth="1"/>
    <col min="3" max="8" width="25.83203125" customWidth="1"/>
    <col min="9" max="9" width="5.6640625" customWidth="1"/>
    <col min="10" max="16384" width="10.83203125" hidden="1"/>
  </cols>
  <sheetData>
    <row r="1" spans="2:8" ht="17" thickBot="1" x14ac:dyDescent="0.25"/>
    <row r="2" spans="2:8" ht="24" customHeight="1" x14ac:dyDescent="0.2">
      <c r="B2" s="201" t="s">
        <v>297</v>
      </c>
      <c r="C2" s="202"/>
      <c r="D2" s="202"/>
      <c r="E2" s="202"/>
      <c r="F2" s="202"/>
      <c r="G2" s="202"/>
      <c r="H2" s="203"/>
    </row>
    <row r="3" spans="2:8" ht="25" customHeight="1" thickBot="1" x14ac:dyDescent="0.25">
      <c r="B3" s="204"/>
      <c r="C3" s="205"/>
      <c r="D3" s="205"/>
      <c r="E3" s="205"/>
      <c r="F3" s="205"/>
      <c r="G3" s="205"/>
      <c r="H3" s="206"/>
    </row>
    <row r="4" spans="2:8" ht="17" thickBot="1" x14ac:dyDescent="0.25"/>
    <row r="5" spans="2:8" s="38" customFormat="1" ht="30" customHeight="1" thickBot="1" x14ac:dyDescent="0.25">
      <c r="B5" s="47"/>
      <c r="C5" s="48" t="s">
        <v>296</v>
      </c>
      <c r="D5" s="49" t="s">
        <v>295</v>
      </c>
      <c r="E5" s="49" t="s">
        <v>294</v>
      </c>
      <c r="F5" s="49" t="s">
        <v>293</v>
      </c>
      <c r="G5" s="49" t="s">
        <v>291</v>
      </c>
      <c r="H5" s="50" t="s">
        <v>292</v>
      </c>
    </row>
    <row r="6" spans="2:8" x14ac:dyDescent="0.2">
      <c r="B6" s="39" t="s">
        <v>1195</v>
      </c>
      <c r="C6" s="45">
        <v>414619.47</v>
      </c>
      <c r="D6" s="40">
        <v>3701.96</v>
      </c>
      <c r="E6" s="41">
        <v>112</v>
      </c>
      <c r="F6" s="41">
        <v>0</v>
      </c>
      <c r="G6" s="41">
        <f>E6-F6</f>
        <v>112</v>
      </c>
      <c r="H6" s="75">
        <f>G6*D6</f>
        <v>414619.52</v>
      </c>
    </row>
    <row r="7" spans="2:8" x14ac:dyDescent="0.2">
      <c r="B7" s="39" t="s">
        <v>286</v>
      </c>
      <c r="C7" s="45">
        <v>1470.36</v>
      </c>
      <c r="D7" s="40">
        <v>91.9</v>
      </c>
      <c r="E7" s="41">
        <v>16</v>
      </c>
      <c r="F7" s="41">
        <v>0</v>
      </c>
      <c r="G7" s="41">
        <f t="shared" ref="G7:G10" si="0">E7-F7</f>
        <v>16</v>
      </c>
      <c r="H7" s="75">
        <f t="shared" ref="H7:H10" si="1">G7*D7</f>
        <v>1470.4</v>
      </c>
    </row>
    <row r="8" spans="2:8" x14ac:dyDescent="0.2">
      <c r="B8" s="39" t="s">
        <v>287</v>
      </c>
      <c r="C8" s="45">
        <v>25000</v>
      </c>
      <c r="D8" s="40">
        <v>520.83000000000004</v>
      </c>
      <c r="E8" s="41">
        <v>48</v>
      </c>
      <c r="F8" s="41">
        <v>0</v>
      </c>
      <c r="G8" s="41">
        <f t="shared" si="0"/>
        <v>48</v>
      </c>
      <c r="H8" s="75">
        <f t="shared" si="1"/>
        <v>24999.840000000004</v>
      </c>
    </row>
    <row r="9" spans="2:8" x14ac:dyDescent="0.2">
      <c r="B9" s="182" t="s">
        <v>288</v>
      </c>
      <c r="C9" s="45">
        <v>6500</v>
      </c>
      <c r="D9" s="40">
        <v>2200</v>
      </c>
      <c r="E9" s="41">
        <v>3</v>
      </c>
      <c r="F9" s="41">
        <v>3</v>
      </c>
      <c r="G9" s="41">
        <f t="shared" si="0"/>
        <v>0</v>
      </c>
      <c r="H9" s="75">
        <f t="shared" si="1"/>
        <v>0</v>
      </c>
    </row>
    <row r="10" spans="2:8" x14ac:dyDescent="0.2">
      <c r="B10" s="39" t="s">
        <v>290</v>
      </c>
      <c r="C10" s="45">
        <f>5000*22</f>
        <v>110000</v>
      </c>
      <c r="D10" s="40">
        <v>5000</v>
      </c>
      <c r="E10" s="41">
        <v>22</v>
      </c>
      <c r="F10" s="41">
        <v>7</v>
      </c>
      <c r="G10" s="41">
        <f t="shared" si="0"/>
        <v>15</v>
      </c>
      <c r="H10" s="75">
        <f t="shared" si="1"/>
        <v>75000</v>
      </c>
    </row>
    <row r="11" spans="2:8" ht="17" thickBot="1" x14ac:dyDescent="0.25">
      <c r="B11" s="42" t="s">
        <v>289</v>
      </c>
      <c r="C11" s="46">
        <v>58117.05</v>
      </c>
      <c r="D11" s="43">
        <v>3418.65</v>
      </c>
      <c r="E11" s="44">
        <v>17</v>
      </c>
      <c r="F11" s="44">
        <v>3</v>
      </c>
      <c r="G11" s="44">
        <f>E11-F11</f>
        <v>14</v>
      </c>
      <c r="H11" s="76">
        <f>G11*D11</f>
        <v>47861.1</v>
      </c>
    </row>
    <row r="12" spans="2:8" ht="17" thickBot="1" x14ac:dyDescent="0.25">
      <c r="B12" s="71" t="s">
        <v>434</v>
      </c>
      <c r="C12" s="72">
        <f>42000000+4000000</f>
        <v>46000000</v>
      </c>
      <c r="D12" s="73" t="s">
        <v>435</v>
      </c>
      <c r="E12" s="73" t="s">
        <v>435</v>
      </c>
      <c r="F12" s="73"/>
      <c r="G12" s="73" t="s">
        <v>435</v>
      </c>
      <c r="H12" s="74">
        <v>42000000</v>
      </c>
    </row>
    <row r="14" spans="2:8" x14ac:dyDescent="0.2">
      <c r="B14" s="183"/>
      <c r="C14" s="3" t="s">
        <v>1196</v>
      </c>
    </row>
  </sheetData>
  <mergeCells count="1">
    <mergeCell ref="B2:H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C5"/>
  <sheetViews>
    <sheetView workbookViewId="0">
      <selection activeCell="C5" sqref="C5"/>
    </sheetView>
  </sheetViews>
  <sheetFormatPr baseColWidth="10" defaultRowHeight="16" x14ac:dyDescent="0.2"/>
  <cols>
    <col min="2" max="2" width="13.83203125" customWidth="1"/>
    <col min="3" max="3" width="15.33203125" style="5" customWidth="1"/>
  </cols>
  <sheetData>
    <row r="2" spans="2:3" x14ac:dyDescent="0.2">
      <c r="B2" s="4" t="s">
        <v>11</v>
      </c>
      <c r="C2" s="17" t="s">
        <v>12</v>
      </c>
    </row>
    <row r="3" spans="2:3" x14ac:dyDescent="0.2">
      <c r="B3" s="23">
        <v>43164</v>
      </c>
      <c r="C3" s="24">
        <v>1336</v>
      </c>
    </row>
    <row r="4" spans="2:3" x14ac:dyDescent="0.2">
      <c r="B4" s="184">
        <v>44182</v>
      </c>
      <c r="C4" s="185">
        <v>1359</v>
      </c>
    </row>
    <row r="5" spans="2:3" x14ac:dyDescent="0.2">
      <c r="B5" s="184">
        <v>44183</v>
      </c>
      <c r="C5" s="185">
        <v>1349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912D8-66B4-154B-8137-9875C7356240}">
  <sheetPr codeName="Sheet5"/>
  <dimension ref="B5:E12"/>
  <sheetViews>
    <sheetView workbookViewId="0">
      <selection activeCell="H12" sqref="H12"/>
    </sheetView>
  </sheetViews>
  <sheetFormatPr baseColWidth="10" defaultRowHeight="16" x14ac:dyDescent="0.2"/>
  <cols>
    <col min="2" max="2" width="31.6640625" customWidth="1"/>
    <col min="3" max="4" width="20.83203125" customWidth="1"/>
  </cols>
  <sheetData>
    <row r="5" spans="2:5" x14ac:dyDescent="0.2">
      <c r="C5" s="2" t="s">
        <v>566</v>
      </c>
      <c r="D5" s="2" t="s">
        <v>567</v>
      </c>
      <c r="E5" s="2" t="s">
        <v>568</v>
      </c>
    </row>
    <row r="6" spans="2:5" x14ac:dyDescent="0.2">
      <c r="B6" t="s">
        <v>569</v>
      </c>
      <c r="C6" s="3">
        <v>32487</v>
      </c>
      <c r="D6" s="3">
        <v>38707.5</v>
      </c>
      <c r="E6" s="81">
        <f>(D6-C6)/C6</f>
        <v>0.1914765906362545</v>
      </c>
    </row>
    <row r="7" spans="2:5" x14ac:dyDescent="0.2">
      <c r="B7" t="s">
        <v>570</v>
      </c>
      <c r="C7" s="3">
        <v>129948</v>
      </c>
      <c r="D7" s="3">
        <v>140625</v>
      </c>
      <c r="E7" s="81">
        <f>(D7-C7)/C7</f>
        <v>8.2163634684643091E-2</v>
      </c>
    </row>
    <row r="8" spans="2:5" x14ac:dyDescent="0.2">
      <c r="B8" t="s">
        <v>571</v>
      </c>
      <c r="C8" s="3">
        <v>73965.100000000006</v>
      </c>
      <c r="D8" s="3">
        <v>80047.5</v>
      </c>
      <c r="E8" s="81">
        <f>(D8-C8)/C8</f>
        <v>8.2233377633505453E-2</v>
      </c>
    </row>
    <row r="9" spans="2:5" x14ac:dyDescent="0.2">
      <c r="B9" t="s">
        <v>572</v>
      </c>
      <c r="C9" s="3">
        <v>33427.800000000003</v>
      </c>
      <c r="D9" s="3">
        <v>38250</v>
      </c>
      <c r="E9" s="81">
        <f t="shared" ref="E9:E12" si="0">(D9-C9)/C9</f>
        <v>0.14425717516558065</v>
      </c>
    </row>
    <row r="10" spans="2:5" x14ac:dyDescent="0.2">
      <c r="B10" t="s">
        <v>573</v>
      </c>
      <c r="C10" s="3">
        <v>133696.5</v>
      </c>
      <c r="D10" s="3">
        <v>144615</v>
      </c>
      <c r="E10" s="81">
        <f t="shared" si="0"/>
        <v>8.1666311384366835E-2</v>
      </c>
    </row>
    <row r="11" spans="2:5" x14ac:dyDescent="0.2">
      <c r="B11" t="s">
        <v>574</v>
      </c>
      <c r="C11" s="3">
        <v>17698.8</v>
      </c>
      <c r="D11" s="3">
        <v>20557.5</v>
      </c>
      <c r="E11" s="81">
        <f t="shared" si="0"/>
        <v>0.16151942504576586</v>
      </c>
    </row>
    <row r="12" spans="2:5" x14ac:dyDescent="0.2">
      <c r="B12" t="s">
        <v>575</v>
      </c>
      <c r="C12" s="3">
        <v>70780.5</v>
      </c>
      <c r="D12" s="3">
        <v>80047.5</v>
      </c>
      <c r="E12" s="81">
        <f t="shared" si="0"/>
        <v>0.13092589060546336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Planning Payment</vt:lpstr>
      <vt:lpstr>Paid</vt:lpstr>
      <vt:lpstr>Debt VB Entities</vt:lpstr>
      <vt:lpstr>Currency Rate</vt:lpstr>
      <vt:lpstr>Sheet1</vt:lpstr>
      <vt:lpstr>Currency</vt:lpstr>
    </vt:vector>
  </TitlesOfParts>
  <Company>UNCDF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Blandine Le Magnen</dc:creator>
  <cp:lastModifiedBy>Blandine Le Magnen</cp:lastModifiedBy>
  <dcterms:created xsi:type="dcterms:W3CDTF">2017-02-01T02:40:41Z</dcterms:created>
  <dcterms:modified xsi:type="dcterms:W3CDTF">2021-03-30T06:24:59Z</dcterms:modified>
</cp:coreProperties>
</file>